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0" activeTab="31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0.00000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6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" fontId="0" fillId="2" borderId="0" pivotButton="0" quotePrefix="0" xfId="0"/>
    <xf numFmtId="165" fontId="0" fillId="0" borderId="0" pivotButton="0" quotePrefix="0" xfId="0"/>
    <xf numFmtId="165" fontId="0" fillId="2" borderId="0" pivotButton="0" quotePrefix="0" xfId="0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00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7754752"/>
        <axId val="77756672"/>
      </lineChart>
      <dateAx>
        <axId val="77754752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7756672"/>
        <crosses val="autoZero"/>
        <lblOffset val="100"/>
      </dateAx>
      <valAx>
        <axId val="77756672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7754752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 refreshError="1"/>
      <sheetData sheetId="1" refreshError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workbookViewId="0">
      <selection activeCell="N4" sqref="N4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2243.336435277751</v>
      </c>
      <c r="M3" t="inlineStr">
        <is>
          <t>Objectif :</t>
        </is>
      </c>
      <c r="N3" s="24">
        <f>(INDEX(N5:N33,MATCH(MAX(O6,O14),O5:O33,0))/0.85)</f>
        <v/>
      </c>
      <c r="O3" s="57">
        <f>(MAX(O6,O14)*0.75)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58">
        <f>B5*C5</f>
        <v/>
      </c>
      <c r="M5" t="inlineStr">
        <is>
          <t>DCA1</t>
        </is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58">
        <f>(R5*S5)</f>
        <v/>
      </c>
    </row>
    <row r="6">
      <c r="B6" s="24" t="n">
        <v>0.0005999999999999999</v>
      </c>
      <c r="C6" s="57" t="n">
        <v>3950</v>
      </c>
      <c r="D6" s="58">
        <f>B6*C6</f>
        <v/>
      </c>
      <c r="M6" t="inlineStr">
        <is>
          <t>Objectif</t>
        </is>
      </c>
      <c r="N6">
        <f>(-B39)</f>
        <v/>
      </c>
      <c r="O6" s="57">
        <f>(C39)</f>
        <v/>
      </c>
      <c r="P6" s="58">
        <f>(O6*N6)</f>
        <v/>
      </c>
      <c r="Q6" t="inlineStr">
        <is>
          <t>Done</t>
        </is>
      </c>
      <c r="R6" s="24">
        <f>(B6)</f>
        <v/>
      </c>
      <c r="S6" s="57" t="n">
        <v>3950</v>
      </c>
      <c r="T6" s="58">
        <f>(R6*S6)</f>
        <v/>
      </c>
    </row>
    <row r="7">
      <c r="B7" s="24" t="n">
        <v>0.0034</v>
      </c>
      <c r="C7" s="57" t="n">
        <v>3428</v>
      </c>
      <c r="D7" s="58">
        <f>B7*C7</f>
        <v/>
      </c>
      <c r="F7" t="inlineStr">
        <is>
          <t>Moy</t>
        </is>
      </c>
      <c r="G7" s="56">
        <f>(D43/B43)</f>
        <v/>
      </c>
      <c r="N7">
        <f>(2*($R$18+N6)/5-N6)</f>
        <v/>
      </c>
      <c r="O7" s="57">
        <f>($S$18*[1]Params!K16)</f>
        <v/>
      </c>
      <c r="P7" s="58">
        <f>(O7*N7)</f>
        <v/>
      </c>
      <c r="R7" s="24">
        <f>(B7)</f>
        <v/>
      </c>
      <c r="S7" s="57" t="n">
        <v>3428</v>
      </c>
      <c r="T7" s="58">
        <f>(R7*S7)</f>
        <v/>
      </c>
    </row>
    <row r="8">
      <c r="B8" s="24" t="n">
        <v>-0.0076</v>
      </c>
      <c r="C8" s="56" t="n">
        <v>3216.89</v>
      </c>
      <c r="D8" s="58">
        <f>B8*C8</f>
        <v/>
      </c>
      <c r="N8">
        <f>($B$35/5)</f>
        <v/>
      </c>
      <c r="O8" s="57">
        <f>($S$18*[1]Params!K17)</f>
        <v/>
      </c>
      <c r="P8" s="58">
        <f>(O8*N8)</f>
        <v/>
      </c>
      <c r="R8" s="24">
        <f>(B11+B10+B9+B8)</f>
        <v/>
      </c>
      <c r="S8" s="56" t="n">
        <v>0</v>
      </c>
      <c r="T8" s="58">
        <f>(D11+D10+D9+D8)</f>
        <v/>
      </c>
    </row>
    <row r="9">
      <c r="B9" s="24" t="n">
        <v>-0.0076</v>
      </c>
      <c r="C9" s="56" t="n">
        <v>3214.67</v>
      </c>
      <c r="D9" s="58">
        <f>B9*C9</f>
        <v/>
      </c>
      <c r="N9">
        <f>($B$35/5)</f>
        <v/>
      </c>
      <c r="O9" s="57">
        <f>($S$18*[1]Params!K18)</f>
        <v/>
      </c>
      <c r="P9" s="58">
        <f>(O9*N9)</f>
        <v/>
      </c>
      <c r="R9" s="24">
        <f>(B12)</f>
        <v/>
      </c>
      <c r="S9" s="56" t="n">
        <v>0</v>
      </c>
      <c r="T9" s="58">
        <f>(R9*S9)</f>
        <v/>
      </c>
    </row>
    <row r="10">
      <c r="B10" s="24" t="n">
        <v>-0.0076</v>
      </c>
      <c r="C10" s="56" t="n">
        <v>3213.16</v>
      </c>
      <c r="D10" s="58">
        <f>B10*C10</f>
        <v/>
      </c>
      <c r="R10" s="24">
        <f>(SUM(B13:B20))</f>
        <v/>
      </c>
      <c r="S10" s="57">
        <f>(T10/R10)</f>
        <v/>
      </c>
      <c r="T10" s="58">
        <f>(SUM(D13:D20))</f>
        <v/>
      </c>
    </row>
    <row r="11">
      <c r="B11" s="24" t="n">
        <v>0.0243</v>
      </c>
      <c r="C11" s="57" t="n">
        <v>3010</v>
      </c>
      <c r="D11" s="58">
        <f>B11*C11</f>
        <v/>
      </c>
      <c r="I11" t="inlineStr">
        <is>
          <t>Objectif</t>
        </is>
      </c>
      <c r="J11" t="n">
        <v>0.6</v>
      </c>
      <c r="P11" s="58">
        <f>(SUM(P6:P9))</f>
        <v/>
      </c>
      <c r="R11" s="24">
        <f>(B21)</f>
        <v/>
      </c>
      <c r="S11" s="57" t="n">
        <v>1895</v>
      </c>
      <c r="T11" s="58">
        <f>(R11*S11)</f>
        <v/>
      </c>
    </row>
    <row r="12">
      <c r="B12" s="25" t="n">
        <v>0.00672314</v>
      </c>
      <c r="C12" s="59" t="n">
        <v>0</v>
      </c>
      <c r="D12" s="60">
        <f>B12*C12</f>
        <v/>
      </c>
      <c r="E12" s="56">
        <f>(B12*J3)</f>
        <v/>
      </c>
      <c r="I12" t="inlineStr">
        <is>
          <t>Difference</t>
        </is>
      </c>
      <c r="J12">
        <f>(J11-B43)</f>
        <v/>
      </c>
      <c r="R12" s="24">
        <f>(B22)</f>
        <v/>
      </c>
      <c r="S12" s="57" t="n">
        <v>1890.15</v>
      </c>
      <c r="T12" s="58">
        <f>(R12*S12)</f>
        <v/>
      </c>
    </row>
    <row r="13">
      <c r="B13" s="24" t="n">
        <v>-0.008</v>
      </c>
      <c r="C13" s="56" t="n">
        <v>2340</v>
      </c>
      <c r="D13" s="58">
        <f>B13*C13</f>
        <v/>
      </c>
      <c r="I13" t="inlineStr">
        <is>
          <t>Diff in $</t>
        </is>
      </c>
      <c r="J13" s="56">
        <f>(J12*J3)</f>
        <v/>
      </c>
      <c r="M13" t="inlineStr">
        <is>
          <t>DCA2</t>
        </is>
      </c>
      <c r="N13" t="inlineStr">
        <is>
          <t>Qty to Buy</t>
        </is>
      </c>
      <c r="O13" t="inlineStr">
        <is>
          <t>Token Price</t>
        </is>
      </c>
      <c r="P13" t="inlineStr">
        <is>
          <t>Value</t>
        </is>
      </c>
      <c r="R13" s="24">
        <f>(B23)</f>
        <v/>
      </c>
      <c r="S13" s="57">
        <f>(T13/R13)</f>
        <v/>
      </c>
      <c r="T13" s="58">
        <f>(82.1)</f>
        <v/>
      </c>
    </row>
    <row r="14">
      <c r="B14" s="24" t="n">
        <v>-0.01</v>
      </c>
      <c r="C14" s="56" t="n">
        <v>2263</v>
      </c>
      <c r="D14" s="58">
        <f>B14*C14</f>
        <v/>
      </c>
      <c r="M14" t="inlineStr">
        <is>
          <t>Objectif</t>
        </is>
      </c>
      <c r="N14">
        <f>(-B38)</f>
        <v/>
      </c>
      <c r="O14" s="57">
        <f>(C38)</f>
        <v/>
      </c>
      <c r="P14" s="58">
        <f>(O14*N14)</f>
        <v/>
      </c>
      <c r="Q14" t="inlineStr">
        <is>
          <t>Done</t>
        </is>
      </c>
      <c r="R14" s="24">
        <f>(B24)</f>
        <v/>
      </c>
      <c r="S14" s="57" t="n">
        <v>1709</v>
      </c>
      <c r="T14" s="58">
        <f>(S14*R14)</f>
        <v/>
      </c>
    </row>
    <row r="15">
      <c r="B15" s="24" t="n">
        <v>-0.008999999999999999</v>
      </c>
      <c r="C15" s="56" t="n">
        <v>2114</v>
      </c>
      <c r="D15" s="58">
        <f>B15*C15</f>
        <v/>
      </c>
      <c r="N15">
        <f>(2*($R$19+N14)/5-N14)</f>
        <v/>
      </c>
      <c r="O15" s="57">
        <f>($S$19*[1]Params!K16)</f>
        <v/>
      </c>
      <c r="P15" s="58">
        <f>(O15*N15)</f>
        <v/>
      </c>
      <c r="R15" s="24">
        <f>(B25)</f>
        <v/>
      </c>
      <c r="S15" s="57" t="n">
        <v>1617.3</v>
      </c>
      <c r="T15" s="58">
        <f>(S15*R15)</f>
        <v/>
      </c>
    </row>
    <row r="16">
      <c r="B16" s="24" t="n">
        <v>-0.008</v>
      </c>
      <c r="C16" s="56" t="n">
        <v>2027.47</v>
      </c>
      <c r="D16" s="58">
        <f>B16*C16</f>
        <v/>
      </c>
      <c r="N16">
        <f>($B$36/5)</f>
        <v/>
      </c>
      <c r="O16" s="57">
        <f>($S$19*[1]Params!K17)</f>
        <v/>
      </c>
      <c r="P16" s="58">
        <f>(O16*N16)</f>
        <v/>
      </c>
      <c r="R16" s="24">
        <f>(SUM(B26:B33))</f>
        <v/>
      </c>
      <c r="S16" s="56" t="n">
        <v>0</v>
      </c>
      <c r="T16" s="58">
        <f>(SUM(D26:D33))</f>
        <v/>
      </c>
    </row>
    <row r="17">
      <c r="B17" s="24" t="n">
        <v>-0.008200000000000001</v>
      </c>
      <c r="C17" s="56" t="n">
        <v>1961</v>
      </c>
      <c r="D17" s="58">
        <f>B17*C17</f>
        <v/>
      </c>
      <c r="N17">
        <f>($B$36/5)</f>
        <v/>
      </c>
      <c r="O17" s="57">
        <f>($S$19*[1]Params!K18)</f>
        <v/>
      </c>
      <c r="P17" s="58">
        <f>(O17*N17)</f>
        <v/>
      </c>
      <c r="R17" s="24">
        <f>(B34)</f>
        <v/>
      </c>
      <c r="S17" s="56">
        <f>(T17/R17)</f>
        <v/>
      </c>
      <c r="T17" s="58" t="n">
        <v>-12.19326523</v>
      </c>
    </row>
    <row r="18">
      <c r="B18" s="24" t="n">
        <v>0.016</v>
      </c>
      <c r="C18" s="57">
        <f>1/0.00048218</f>
        <v/>
      </c>
      <c r="D18" s="58">
        <f>B18*C18</f>
        <v/>
      </c>
      <c r="R18" s="24">
        <f>(B35+B39)</f>
        <v/>
      </c>
      <c r="S18" s="57">
        <f>(T18/R18)</f>
        <v/>
      </c>
      <c r="T18" s="58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58">
        <f>B19*C19</f>
        <v/>
      </c>
      <c r="P19" s="58">
        <f>(SUM(P14:P17))</f>
        <v/>
      </c>
      <c r="R19" s="24">
        <f>(B36+B38)</f>
        <v/>
      </c>
      <c r="S19" s="57">
        <f>(T19/R19)</f>
        <v/>
      </c>
      <c r="T19" s="58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58" t="n">
        <v>50</v>
      </c>
      <c r="R20" s="24">
        <f>(B37)</f>
        <v/>
      </c>
      <c r="S20" s="57">
        <f>(C37)</f>
        <v/>
      </c>
      <c r="T20" s="58">
        <f>(D37)</f>
        <v/>
      </c>
    </row>
    <row r="21">
      <c r="B21" s="24" t="n">
        <v>0.01</v>
      </c>
      <c r="C21" s="57" t="n">
        <v>1895</v>
      </c>
      <c r="D21" s="58">
        <f>B21*C21</f>
        <v/>
      </c>
      <c r="N21" t="inlineStr">
        <is>
          <t>Qty to Buy</t>
        </is>
      </c>
      <c r="O21" t="inlineStr">
        <is>
          <t>Token Price</t>
        </is>
      </c>
      <c r="P21" t="inlineStr">
        <is>
          <t>Value</t>
        </is>
      </c>
      <c r="R21" s="24">
        <f>(B38-B38)</f>
        <v/>
      </c>
      <c r="S21" s="56" t="n">
        <v>0</v>
      </c>
      <c r="T21" s="58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58">
        <f>B22*C22</f>
        <v/>
      </c>
      <c r="M22" t="inlineStr">
        <is>
          <t>Objectif</t>
        </is>
      </c>
      <c r="N22" s="24">
        <f>($R$20/5)</f>
        <v/>
      </c>
      <c r="O22" s="57">
        <f>($S$20*[1]Params!K15)</f>
        <v/>
      </c>
      <c r="P22" s="58">
        <f>(O22*N22)</f>
        <v/>
      </c>
      <c r="R22" s="24">
        <f>(B39-B39)</f>
        <v/>
      </c>
      <c r="S22" s="56" t="n">
        <v>0</v>
      </c>
      <c r="T22" s="58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58">
        <f>82.1</f>
        <v/>
      </c>
      <c r="N23" s="24">
        <f>($R$20/5)</f>
        <v/>
      </c>
      <c r="O23" s="57">
        <f>($S$20*[1]Params!K16)</f>
        <v/>
      </c>
      <c r="P23" s="58">
        <f>(O23*N23)</f>
        <v/>
      </c>
      <c r="R23" s="24">
        <f>(B40)</f>
        <v/>
      </c>
      <c r="S23" s="57">
        <f>(T23/R23)</f>
        <v/>
      </c>
      <c r="T23" s="58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58">
        <f>C24*B24</f>
        <v/>
      </c>
      <c r="N24" s="24">
        <f>($R$20/5)</f>
        <v/>
      </c>
      <c r="O24" s="57">
        <f>($S$20*[1]Params!K17)</f>
        <v/>
      </c>
      <c r="P24" s="58">
        <f>(O24*N24)</f>
        <v/>
      </c>
      <c r="R24" s="24">
        <f>B41</f>
        <v/>
      </c>
      <c r="S24" s="57">
        <f>(T24/R24)</f>
        <v/>
      </c>
      <c r="T24" s="58">
        <f>D41</f>
        <v/>
      </c>
    </row>
    <row r="25">
      <c r="B25" s="24" t="n">
        <v>0.01</v>
      </c>
      <c r="C25" s="57" t="n">
        <v>1617.3</v>
      </c>
      <c r="D25" s="58">
        <f>(C25*B25)</f>
        <v/>
      </c>
      <c r="N25" s="24">
        <f>($R$20/5)</f>
        <v/>
      </c>
      <c r="O25" s="57">
        <f>($S$20*[1]Params!K18)</f>
        <v/>
      </c>
      <c r="P25" s="58">
        <f>(O25*N25)</f>
        <v/>
      </c>
    </row>
    <row r="26">
      <c r="B26" s="24" t="n">
        <v>-0.01</v>
      </c>
      <c r="C26" s="56" t="n">
        <v>1530</v>
      </c>
      <c r="D26" s="58">
        <f>(C26*B26)</f>
        <v/>
      </c>
    </row>
    <row r="27">
      <c r="B27" s="24" t="n">
        <v>0.01</v>
      </c>
      <c r="C27" s="57" t="n">
        <v>1500</v>
      </c>
      <c r="D27" s="58">
        <f>(C27*B27)</f>
        <v/>
      </c>
      <c r="P27" s="58">
        <f>(SUM(P22:P25))</f>
        <v/>
      </c>
    </row>
    <row r="28">
      <c r="B28" s="24" t="n">
        <v>-0.01</v>
      </c>
      <c r="C28" s="56">
        <f>(D28/B28)</f>
        <v/>
      </c>
      <c r="D28" s="58" t="n">
        <v>-14.43</v>
      </c>
    </row>
    <row r="29">
      <c r="B29" s="24" t="n">
        <v>0.01</v>
      </c>
      <c r="C29" s="57" t="n">
        <v>1428.89</v>
      </c>
      <c r="D29" s="58">
        <f>(C29*B29)</f>
        <v/>
      </c>
      <c r="M29" t="inlineStr">
        <is>
          <t>DCA3</t>
        </is>
      </c>
      <c r="N29" t="inlineStr">
        <is>
          <t>Qty to Buy</t>
        </is>
      </c>
      <c r="O29" t="inlineStr">
        <is>
          <t>Token Price</t>
        </is>
      </c>
      <c r="P29" t="inlineStr">
        <is>
          <t>Value</t>
        </is>
      </c>
    </row>
    <row r="30">
      <c r="B30" s="24" t="n">
        <v>-0.01</v>
      </c>
      <c r="C30" s="56" t="n">
        <v>1402.5</v>
      </c>
      <c r="D30" s="58">
        <f>(C30*B30)</f>
        <v/>
      </c>
      <c r="M30" t="inlineStr">
        <is>
          <t>Objectif</t>
        </is>
      </c>
      <c r="N30">
        <f>($R$23/5)</f>
        <v/>
      </c>
      <c r="O30" s="57">
        <f>($S$23*[1]Params!K15)</f>
        <v/>
      </c>
      <c r="P30" s="58">
        <f>(O30*N30)</f>
        <v/>
      </c>
    </row>
    <row r="31">
      <c r="B31" s="24" t="n">
        <v>0.01</v>
      </c>
      <c r="C31" s="57" t="n">
        <v>1372</v>
      </c>
      <c r="D31" s="58">
        <f>(C31*B31)</f>
        <v/>
      </c>
      <c r="N31">
        <f>($R$23/5)</f>
        <v/>
      </c>
      <c r="O31" s="57">
        <f>($S$23*[1]Params!K16)</f>
        <v/>
      </c>
      <c r="P31" s="58">
        <f>(O31*N31)</f>
        <v/>
      </c>
    </row>
    <row r="32">
      <c r="B32" s="24" t="n">
        <v>-0.01</v>
      </c>
      <c r="C32" s="56" t="n">
        <v>1286.66</v>
      </c>
      <c r="D32" s="58">
        <f>(C32*B32)</f>
        <v/>
      </c>
      <c r="N32">
        <f>($R$23/5)</f>
        <v/>
      </c>
      <c r="O32" s="57">
        <f>($S$23*[1]Params!K17)</f>
        <v/>
      </c>
      <c r="P32" s="58">
        <f>(O32*N32)</f>
        <v/>
      </c>
      <c r="R32">
        <f>(SUM(R5:R31))</f>
        <v/>
      </c>
      <c r="T32" s="58">
        <f>(SUM(T5:T31))</f>
        <v/>
      </c>
    </row>
    <row r="33">
      <c r="B33" s="24" t="n">
        <v>0.01</v>
      </c>
      <c r="C33" s="57" t="n">
        <v>1250</v>
      </c>
      <c r="D33" s="58">
        <f>(C33*B33)</f>
        <v/>
      </c>
      <c r="N33">
        <f>($R$23/5)</f>
        <v/>
      </c>
      <c r="O33" s="57">
        <f>($S$23*[1]Params!K18)</f>
        <v/>
      </c>
      <c r="P33" s="58">
        <f>(O33*N33)</f>
        <v/>
      </c>
    </row>
    <row r="34">
      <c r="B34" s="24" t="n">
        <v>-0.01</v>
      </c>
      <c r="C34" s="56">
        <f>(D34/B34)</f>
        <v/>
      </c>
      <c r="D34" s="58" t="n">
        <v>-12.19326523</v>
      </c>
    </row>
    <row r="35">
      <c r="B35" s="24" t="n">
        <v>0.11612225</v>
      </c>
      <c r="C35" s="57">
        <f>(D35/B35)</f>
        <v/>
      </c>
      <c r="D35" s="58" t="n">
        <v>195.09</v>
      </c>
      <c r="E35" t="inlineStr">
        <is>
          <t>DCA1</t>
        </is>
      </c>
      <c r="P35" s="58">
        <f>(SUM(P30:P33))</f>
        <v/>
      </c>
    </row>
    <row r="36">
      <c r="B36" s="24" t="n">
        <v>0.02350642</v>
      </c>
      <c r="C36" s="57">
        <f>(D36/B36)</f>
        <v/>
      </c>
      <c r="D36" s="58" t="n">
        <v>40.3</v>
      </c>
      <c r="E36" t="inlineStr">
        <is>
          <t>DCA2</t>
        </is>
      </c>
    </row>
    <row r="37">
      <c r="B37" s="24" t="n">
        <v>0.00041228</v>
      </c>
      <c r="C37" s="57">
        <f>(D37/B37)</f>
        <v/>
      </c>
      <c r="D37" s="58" t="n">
        <v>0.5</v>
      </c>
    </row>
    <row r="38">
      <c r="B38" s="24">
        <f>(-0.000705)</f>
        <v/>
      </c>
      <c r="C38" s="56" t="n">
        <v>1605</v>
      </c>
      <c r="D38" s="58">
        <f>(C38*B38)</f>
        <v/>
      </c>
    </row>
    <row r="39">
      <c r="B39" s="24">
        <f>(-0.00535-B38)</f>
        <v/>
      </c>
      <c r="C39" s="56" t="n">
        <v>1605</v>
      </c>
      <c r="D39" s="58">
        <f>(C39*B39)</f>
        <v/>
      </c>
    </row>
    <row r="40">
      <c r="B40" s="24" t="n">
        <v>0.05362452</v>
      </c>
      <c r="C40" s="57">
        <f>(D40/B40)</f>
        <v/>
      </c>
      <c r="D40" s="58" t="n">
        <v>99.15000000000001</v>
      </c>
      <c r="E40" t="inlineStr">
        <is>
          <t>DCA3</t>
        </is>
      </c>
    </row>
    <row r="41">
      <c r="B41" s="24" t="n">
        <v>0.0203796</v>
      </c>
      <c r="C41" s="57" t="n">
        <v>2275</v>
      </c>
      <c r="D41" s="58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7">
        <f>D43/B43</f>
        <v/>
      </c>
    </row>
    <row r="43">
      <c r="B43">
        <f>(SUM(B5:B42))</f>
        <v/>
      </c>
      <c r="D43" s="58">
        <f>(SUM(D5:D42))</f>
        <v/>
      </c>
    </row>
  </sheetData>
  <conditionalFormatting sqref="C5:C7 C11 C18:C25 C27 C29 C31 C33 C35:C37 C40:C41 G42 O3 O7:O9 O15:O17 O22:O25 O30:O33 S5:S7 S10:S15 S18:S20 S23:S24">
    <cfRule type="cellIs" priority="39" operator="lessThan" dxfId="1">
      <formula>$J$3</formula>
    </cfRule>
    <cfRule type="cellIs" priority="4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A77"/>
  <sheetViews>
    <sheetView topLeftCell="A24" workbookViewId="0">
      <selection activeCell="B30" sqref="B30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9.140625" customWidth="1" style="14" min="12" max="12"/>
    <col width="12" bestFit="1" customWidth="1" style="14" min="14" max="14"/>
    <col width="12.5703125" bestFit="1" customWidth="1" style="14" min="15" max="15"/>
    <col width="11.57031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44015.81203678787</v>
      </c>
      <c r="M3" t="inlineStr">
        <is>
          <t>Objectif :</t>
        </is>
      </c>
      <c r="N3">
        <f>(INDEX((N8:N67),MATCH(O3/0.85,O8:O67,0))/0.9)</f>
        <v/>
      </c>
      <c r="O3" s="57">
        <f>(MAX(O8,O16:O18,O48,O24,O32,O40,O56,O64)*0.85)</f>
        <v/>
      </c>
      <c r="P3" s="6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(B38*J3)</f>
        <v/>
      </c>
      <c r="K4" s="4">
        <f>(J4/D38-1)</f>
        <v/>
      </c>
      <c r="L4" s="4" t="n"/>
      <c r="S4" t="inlineStr">
        <is>
          <t>Qty</t>
        </is>
      </c>
      <c r="T4" t="inlineStr">
        <is>
          <t>Price</t>
        </is>
      </c>
      <c r="U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S5" s="24">
        <f>(B5)</f>
        <v/>
      </c>
      <c r="T5" s="56" t="n">
        <v>41500</v>
      </c>
      <c r="U5" s="56">
        <f>(S5*T5)</f>
        <v/>
      </c>
    </row>
    <row r="6">
      <c r="B6" s="25" t="n">
        <v>0.00035157</v>
      </c>
      <c r="C6" s="59" t="n">
        <v>0</v>
      </c>
      <c r="D6" s="60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S6" s="24">
        <f>(B6)</f>
        <v/>
      </c>
      <c r="T6" s="56" t="n">
        <v>0</v>
      </c>
      <c r="U6" s="56">
        <f>(S6*T6)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 s="62">
        <f>(J6-B38)</f>
        <v/>
      </c>
      <c r="N7" t="inlineStr">
        <is>
          <t>Qty to Buy</t>
        </is>
      </c>
      <c r="O7" t="inlineStr">
        <is>
          <t>Token Price</t>
        </is>
      </c>
      <c r="P7" t="inlineStr">
        <is>
          <t>Value</t>
        </is>
      </c>
      <c r="S7" s="24">
        <f>(B7)</f>
        <v/>
      </c>
      <c r="T7" s="56">
        <f>(U7/S7)</f>
        <v/>
      </c>
      <c r="U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61">
        <f>(J7*J3)</f>
        <v/>
      </c>
      <c r="M8" t="inlineStr">
        <is>
          <t>Objectif</t>
        </is>
      </c>
      <c r="N8">
        <f>($B$16/5)</f>
        <v/>
      </c>
      <c r="O8" s="56">
        <f>(C26)</f>
        <v/>
      </c>
      <c r="P8" s="61">
        <f>(O8*N8)</f>
        <v/>
      </c>
      <c r="Q8" t="inlineStr">
        <is>
          <t>Done</t>
        </is>
      </c>
      <c r="S8" s="24">
        <f>(B8)</f>
        <v/>
      </c>
      <c r="T8" s="56">
        <f>(U8/S8)</f>
        <v/>
      </c>
      <c r="U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N9">
        <f>($B$16/5)</f>
        <v/>
      </c>
      <c r="O9" s="56">
        <f>($C$16*[1]Params!K16)</f>
        <v/>
      </c>
      <c r="P9" s="61">
        <f>(O9*N9)</f>
        <v/>
      </c>
      <c r="S9" s="24">
        <f>(B9)</f>
        <v/>
      </c>
      <c r="T9" s="56">
        <f>(U9/S9)</f>
        <v/>
      </c>
      <c r="U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N10">
        <f>($B$16/5)</f>
        <v/>
      </c>
      <c r="O10" s="56">
        <f>($C$16*[1]Params!K17)</f>
        <v/>
      </c>
      <c r="P10" s="61">
        <f>(O10*N10)</f>
        <v/>
      </c>
      <c r="S10" s="24">
        <f>(B10)</f>
        <v/>
      </c>
      <c r="T10" s="56" t="n">
        <v>20458</v>
      </c>
      <c r="U10" s="56">
        <f>(T10*S10)</f>
        <v/>
      </c>
    </row>
    <row r="11">
      <c r="B11" s="24" t="n">
        <v>0.00051</v>
      </c>
      <c r="C11" s="56" t="n">
        <v>19873.31</v>
      </c>
      <c r="D11" s="56">
        <f>(C11*B11)</f>
        <v/>
      </c>
      <c r="N11">
        <f>($B$16/5)</f>
        <v/>
      </c>
      <c r="O11" s="56">
        <f>($C$16*[1]Params!K18)</f>
        <v/>
      </c>
      <c r="P11" s="61">
        <f>(O11*N11)</f>
        <v/>
      </c>
      <c r="S11" s="24">
        <f>(B12)</f>
        <v/>
      </c>
      <c r="T11" s="56" t="n">
        <v>19169.31</v>
      </c>
      <c r="U11" s="56">
        <f>(T11*S11)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S12" s="24">
        <f>(B13+B11+B14)</f>
        <v/>
      </c>
      <c r="T12" s="56">
        <f>(U12/S12)</f>
        <v/>
      </c>
      <c r="U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P13" s="61">
        <f>(SUM(P8:P11))</f>
        <v/>
      </c>
      <c r="S13" s="24">
        <f>(B15)</f>
        <v/>
      </c>
      <c r="T13" s="56" t="n">
        <v>18969</v>
      </c>
      <c r="U13" s="56">
        <f>(T13*S13)</f>
        <v/>
      </c>
    </row>
    <row r="14">
      <c r="B14" s="24" t="n">
        <v>0.00054</v>
      </c>
      <c r="C14" s="56" t="n">
        <v>19000</v>
      </c>
      <c r="D14" s="56">
        <f>(C14*B14)</f>
        <v/>
      </c>
      <c r="S14" s="24">
        <f>(B16+B26)</f>
        <v/>
      </c>
      <c r="T14" s="56">
        <f>(U14/S14)</f>
        <v/>
      </c>
      <c r="U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N15" t="inlineStr">
        <is>
          <t>Qty to Buy</t>
        </is>
      </c>
      <c r="O15" t="inlineStr">
        <is>
          <t>Token Price</t>
        </is>
      </c>
      <c r="P15" t="inlineStr">
        <is>
          <t>Value</t>
        </is>
      </c>
      <c r="S15" s="24">
        <f>(B17+B18+B21+B33)</f>
        <v/>
      </c>
      <c r="T15" s="56">
        <f>(U15/S15)</f>
        <v/>
      </c>
      <c r="U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Objectif</t>
        </is>
      </c>
      <c r="N16">
        <f>($B$17/5)</f>
        <v/>
      </c>
      <c r="O16" s="56">
        <f>(C18)</f>
        <v/>
      </c>
      <c r="P16" s="61">
        <f>(O16*N16)</f>
        <v/>
      </c>
      <c r="Q16" t="inlineStr">
        <is>
          <t>Done</t>
        </is>
      </c>
      <c r="S16" s="24">
        <f>(B19+B27)</f>
        <v/>
      </c>
      <c r="T16" s="56">
        <f>(U16/S16)</f>
        <v/>
      </c>
      <c r="U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N17">
        <f>($B$17/5)</f>
        <v/>
      </c>
      <c r="O17" s="56">
        <f>(C21)</f>
        <v/>
      </c>
      <c r="P17" s="61">
        <f>(O17*N17)</f>
        <v/>
      </c>
      <c r="Q17" t="inlineStr">
        <is>
          <t>Done</t>
        </is>
      </c>
      <c r="S17" s="24">
        <f>(B20+B28)</f>
        <v/>
      </c>
      <c r="T17" s="56">
        <f>(U17/S17)</f>
        <v/>
      </c>
      <c r="U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N18">
        <f>($B$17/5)</f>
        <v/>
      </c>
      <c r="O18" s="56">
        <f>(C33)</f>
        <v/>
      </c>
      <c r="P18" s="61">
        <f>(O18*N18)</f>
        <v/>
      </c>
      <c r="Q18" t="inlineStr">
        <is>
          <t>Done</t>
        </is>
      </c>
      <c r="S18" s="24">
        <f>(B22+B27)</f>
        <v/>
      </c>
      <c r="T18" s="56">
        <f>(U18/S18)</f>
        <v/>
      </c>
      <c r="U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N19">
        <f>($B$17/5)</f>
        <v/>
      </c>
      <c r="O19" s="56">
        <f>($C$17*[1]Params!K18)</f>
        <v/>
      </c>
      <c r="P19" s="61">
        <f>(O19*N19)</f>
        <v/>
      </c>
      <c r="S19" s="24">
        <f>(B23+B32)</f>
        <v/>
      </c>
      <c r="T19" s="56">
        <f>(U19/S19)</f>
        <v/>
      </c>
      <c r="U19" s="56">
        <f>(D23+17438.6*B32)</f>
        <v/>
      </c>
      <c r="V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S20" s="24">
        <f>(B24+B31)</f>
        <v/>
      </c>
      <c r="T20" s="56">
        <f>(U20/S20)</f>
        <v/>
      </c>
      <c r="U20" s="56">
        <f>(D24+17211.7*B31)</f>
        <v/>
      </c>
      <c r="V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P21" s="61">
        <f>(SUM(P16:P19))</f>
        <v/>
      </c>
      <c r="S21" s="24">
        <f>(B25+B30)</f>
        <v/>
      </c>
      <c r="T21" s="56">
        <f>(U21/S21)</f>
        <v/>
      </c>
      <c r="U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S22" s="24">
        <f>(B31-B31)</f>
        <v/>
      </c>
      <c r="T22" s="56" t="n">
        <v>0</v>
      </c>
      <c r="U22" s="56">
        <f>(17211.7*-B31+D31)</f>
        <v/>
      </c>
      <c r="V22" t="inlineStr">
        <is>
          <t>DCA2 1/5</t>
        </is>
      </c>
    </row>
    <row r="23">
      <c r="B23" s="24" t="n">
        <v>0.00699648</v>
      </c>
      <c r="C23" s="56">
        <f>(D23/B23)</f>
        <v/>
      </c>
      <c r="D23" s="56" t="n">
        <v>171.6</v>
      </c>
      <c r="E23" t="inlineStr">
        <is>
          <t>DCA1</t>
        </is>
      </c>
      <c r="N23" t="inlineStr">
        <is>
          <t>Qty to Buy</t>
        </is>
      </c>
      <c r="O23" t="inlineStr">
        <is>
          <t>Token Price</t>
        </is>
      </c>
      <c r="P23" t="inlineStr">
        <is>
          <t>Value</t>
        </is>
      </c>
      <c r="S23" s="24">
        <f>(B32-B32)</f>
        <v/>
      </c>
      <c r="T23" s="56" t="n">
        <v>0</v>
      </c>
      <c r="U23" s="56">
        <f>(17438.6*-B32+D32)</f>
        <v/>
      </c>
      <c r="V23" t="inlineStr">
        <is>
          <t>DCA1 1/5</t>
        </is>
      </c>
    </row>
    <row r="24">
      <c r="B24" s="24" t="n">
        <v>0.00155952</v>
      </c>
      <c r="C24" s="56">
        <f>(D24/B24)</f>
        <v/>
      </c>
      <c r="D24" s="56" t="n">
        <v>40.3</v>
      </c>
      <c r="E24" t="inlineStr">
        <is>
          <t>DCA2</t>
        </is>
      </c>
      <c r="M24" t="inlineStr">
        <is>
          <t>Objectif</t>
        </is>
      </c>
      <c r="N24">
        <f>($B$19/5)</f>
        <v/>
      </c>
      <c r="O24" s="56">
        <f>(C27)</f>
        <v/>
      </c>
      <c r="P24" s="61">
        <f>(O24*N24)</f>
        <v/>
      </c>
      <c r="Q24" t="inlineStr">
        <is>
          <t>Done</t>
        </is>
      </c>
      <c r="S24" s="24">
        <f>(B34)</f>
        <v/>
      </c>
      <c r="T24" s="56">
        <f>(U24/S24)</f>
        <v/>
      </c>
      <c r="U24" s="56">
        <f>(D34)</f>
        <v/>
      </c>
      <c r="V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N25">
        <f>($B$19/5)</f>
        <v/>
      </c>
      <c r="O25" s="56">
        <f>($C$19*[1]Params!K16)</f>
        <v/>
      </c>
      <c r="P25" s="61">
        <f>(O25*N25)</f>
        <v/>
      </c>
    </row>
    <row r="26">
      <c r="B26" s="24" t="n">
        <v>-0.000336</v>
      </c>
      <c r="C26" s="56">
        <f>(D26/B26)</f>
        <v/>
      </c>
      <c r="D26" s="56">
        <f>(-7.04895293)</f>
        <v/>
      </c>
      <c r="N26">
        <f>($B$19/5)</f>
        <v/>
      </c>
      <c r="O26" s="56">
        <f>($C$19*[1]Params!K17)</f>
        <v/>
      </c>
      <c r="P26" s="61">
        <f>(O26*N26)</f>
        <v/>
      </c>
    </row>
    <row r="27">
      <c r="B27" s="24" t="n">
        <v>-0.00012</v>
      </c>
      <c r="C27" s="56" t="n">
        <v>20900</v>
      </c>
      <c r="D27" s="56">
        <f>(C27*B27)</f>
        <v/>
      </c>
      <c r="N27">
        <f>($B$19/5)</f>
        <v/>
      </c>
      <c r="O27" s="56">
        <f>($C$19*[1]Params!K18)</f>
        <v/>
      </c>
      <c r="P27" s="61">
        <f>(O27*N27)</f>
        <v/>
      </c>
    </row>
    <row r="28">
      <c r="B28" s="24" t="n">
        <v>-0.00018</v>
      </c>
      <c r="C28" s="56" t="n">
        <v>21355</v>
      </c>
      <c r="D28" s="56">
        <f>(B28*C28)</f>
        <v/>
      </c>
    </row>
    <row r="29">
      <c r="B29" s="24" t="n">
        <v>-0.00012</v>
      </c>
      <c r="C29" s="56" t="n">
        <v>21355</v>
      </c>
      <c r="D29" s="56">
        <f>(C29*B29)</f>
        <v/>
      </c>
      <c r="P29" s="61">
        <f>(SUM(P24:P27))</f>
        <v/>
      </c>
    </row>
    <row r="30">
      <c r="B30" s="24">
        <f>(-N64)</f>
        <v/>
      </c>
      <c r="C30" s="56" t="n">
        <v>21560</v>
      </c>
      <c r="D30" s="56">
        <f>(C30*B30)</f>
        <v/>
      </c>
    </row>
    <row r="31">
      <c r="B31" s="24">
        <f>(-0.000058-B30)</f>
        <v/>
      </c>
      <c r="C31" s="56" t="n">
        <v>21560</v>
      </c>
      <c r="D31" s="56">
        <f>(C31*B31)</f>
        <v/>
      </c>
      <c r="N31" t="inlineStr">
        <is>
          <t>Qty to Buy</t>
        </is>
      </c>
      <c r="O31" t="inlineStr">
        <is>
          <t>Token Price</t>
        </is>
      </c>
      <c r="P31" t="inlineStr">
        <is>
          <t>Value</t>
        </is>
      </c>
      <c r="AA31" s="57" t="n"/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Objectif</t>
        </is>
      </c>
      <c r="N32">
        <f>($B$20/5)</f>
        <v/>
      </c>
      <c r="O32" s="56">
        <f>(C28)</f>
        <v/>
      </c>
      <c r="P32" s="61">
        <f>(O32*N32)</f>
        <v/>
      </c>
      <c r="Q32" t="inlineStr">
        <is>
          <t>Done</t>
        </is>
      </c>
      <c r="AA32" s="57" t="n"/>
    </row>
    <row r="33">
      <c r="B33" s="24">
        <f>(-0.000184)</f>
        <v/>
      </c>
      <c r="C33" s="56">
        <f>(D33/B33)</f>
        <v/>
      </c>
      <c r="D33" s="56">
        <f>(-4.215072)</f>
        <v/>
      </c>
      <c r="N33">
        <f>($B$20/5)</f>
        <v/>
      </c>
      <c r="O33" s="56">
        <f>($C$20*[1]Params!K16)</f>
        <v/>
      </c>
      <c r="P33" s="61">
        <f>(O33*N33)</f>
        <v/>
      </c>
    </row>
    <row r="34">
      <c r="B34" s="24" t="n">
        <v>0.00180774</v>
      </c>
      <c r="C34" s="56">
        <f>(D34/B34)</f>
        <v/>
      </c>
      <c r="D34" s="56" t="n">
        <v>49.85</v>
      </c>
      <c r="E34" t="inlineStr">
        <is>
          <t>DCA3</t>
        </is>
      </c>
      <c r="N34">
        <f>($B$20/5)</f>
        <v/>
      </c>
      <c r="O34" s="56">
        <f>($C$20*[1]Params!K17)</f>
        <v/>
      </c>
      <c r="P34" s="61">
        <f>(O34*N34)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N35">
        <f>($B$20/5)</f>
        <v/>
      </c>
      <c r="O35" s="56">
        <f>($C$20*[1]Params!K18)</f>
        <v/>
      </c>
      <c r="P35" s="61">
        <f>(O35*N35)</f>
        <v/>
      </c>
    </row>
    <row r="36">
      <c r="B36" s="24" t="n">
        <v>-0.00108507</v>
      </c>
      <c r="C36" s="56" t="n">
        <v>42783</v>
      </c>
      <c r="D36" s="56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</row>
    <row r="37">
      <c r="F37" t="inlineStr">
        <is>
          <t>Moy</t>
        </is>
      </c>
      <c r="G37" s="57">
        <f>(D38/B38)</f>
        <v/>
      </c>
      <c r="P37" s="61">
        <f>(SUM(P32:P35))</f>
        <v/>
      </c>
      <c r="S37">
        <f>(SUM(S5:S25))</f>
        <v/>
      </c>
      <c r="U37" s="56">
        <f>(SUM(U5:U25))</f>
        <v/>
      </c>
    </row>
    <row r="38">
      <c r="B38">
        <f>(SUM(B5:B37))</f>
        <v/>
      </c>
      <c r="D38" s="56">
        <f>(SUM(D5:D37))</f>
        <v/>
      </c>
    </row>
    <row r="39">
      <c r="N39" t="inlineStr">
        <is>
          <t>Qty to Buy</t>
        </is>
      </c>
      <c r="O39" t="inlineStr">
        <is>
          <t>Token Price</t>
        </is>
      </c>
      <c r="P39" t="inlineStr">
        <is>
          <t>Value</t>
        </is>
      </c>
    </row>
    <row r="40">
      <c r="M40" t="inlineStr">
        <is>
          <t>Objectif</t>
        </is>
      </c>
      <c r="N40">
        <f>(-B29)</f>
        <v/>
      </c>
      <c r="O40" s="56">
        <f>(C29)</f>
        <v/>
      </c>
      <c r="P40" s="61">
        <f>(O40*N40)</f>
        <v/>
      </c>
      <c r="Q40" t="inlineStr">
        <is>
          <t>Done</t>
        </is>
      </c>
    </row>
    <row r="41">
      <c r="N41">
        <f>($B$22/5)</f>
        <v/>
      </c>
      <c r="O41" s="56">
        <f>($C$22*[1]Params!K16)</f>
        <v/>
      </c>
      <c r="P41" s="61">
        <f>(O41*N41)</f>
        <v/>
      </c>
    </row>
    <row r="42">
      <c r="N42">
        <f>($B$22/5)</f>
        <v/>
      </c>
      <c r="O42" s="56">
        <f>($C$22*[1]Params!K17)</f>
        <v/>
      </c>
      <c r="P42" s="61">
        <f>(O42*N42)</f>
        <v/>
      </c>
    </row>
    <row r="43">
      <c r="N43">
        <f>($B$22/5)</f>
        <v/>
      </c>
      <c r="O43" s="56">
        <f>($C$22*[1]Params!K18)</f>
        <v/>
      </c>
      <c r="P43" s="61">
        <f>(O43*N43)</f>
        <v/>
      </c>
    </row>
    <row r="44"/>
    <row r="45">
      <c r="P45" s="61">
        <f>(SUM(P40:P43))</f>
        <v/>
      </c>
    </row>
    <row r="46"/>
    <row r="47">
      <c r="M47" t="inlineStr">
        <is>
          <t>DCA1</t>
        </is>
      </c>
      <c r="N47" t="inlineStr">
        <is>
          <t>Qty to Buy</t>
        </is>
      </c>
      <c r="O47" t="inlineStr">
        <is>
          <t>Token Price</t>
        </is>
      </c>
      <c r="P47" t="inlineStr">
        <is>
          <t>Value</t>
        </is>
      </c>
    </row>
    <row r="48">
      <c r="M48" t="inlineStr">
        <is>
          <t>Objectif</t>
        </is>
      </c>
      <c r="N48">
        <f>(-B32)</f>
        <v/>
      </c>
      <c r="O48" s="56">
        <f>(C32)</f>
        <v/>
      </c>
      <c r="P48" s="61">
        <f>(O48*N48)</f>
        <v/>
      </c>
      <c r="Q48" t="inlineStr">
        <is>
          <t>Done</t>
        </is>
      </c>
    </row>
    <row r="49">
      <c r="N49">
        <f>(2*($S$19+N48)/5-N48)</f>
        <v/>
      </c>
      <c r="O49" s="56">
        <f>($T$19*[1]Params!K16)</f>
        <v/>
      </c>
      <c r="P49" s="61">
        <f>(O49*N49)</f>
        <v/>
      </c>
    </row>
    <row r="50">
      <c r="N50">
        <f>($B$23/5)</f>
        <v/>
      </c>
      <c r="O50" s="56">
        <f>($T$19*[1]Params!K17)</f>
        <v/>
      </c>
      <c r="P50" s="61">
        <f>(O50*N50)</f>
        <v/>
      </c>
    </row>
    <row r="51">
      <c r="N51">
        <f>($B$23/5)</f>
        <v/>
      </c>
      <c r="O51" s="56">
        <f>($T$19*[1]Params!K18)</f>
        <v/>
      </c>
      <c r="P51" s="61">
        <f>(O51*N51)</f>
        <v/>
      </c>
    </row>
    <row r="52"/>
    <row r="53">
      <c r="P53" s="61">
        <f>(SUM(P48:P51))</f>
        <v/>
      </c>
    </row>
    <row r="54"/>
    <row r="55">
      <c r="M55" t="inlineStr">
        <is>
          <t>DCA2</t>
        </is>
      </c>
      <c r="N55" t="inlineStr">
        <is>
          <t>Qty to Buy</t>
        </is>
      </c>
      <c r="O55" t="inlineStr">
        <is>
          <t>Token Price</t>
        </is>
      </c>
      <c r="P55" t="inlineStr">
        <is>
          <t>Value</t>
        </is>
      </c>
    </row>
    <row r="56">
      <c r="M56" t="inlineStr">
        <is>
          <t>Objectif</t>
        </is>
      </c>
      <c r="N56">
        <f>(-B31)</f>
        <v/>
      </c>
      <c r="O56" s="56">
        <f>(C31)</f>
        <v/>
      </c>
      <c r="P56" s="61">
        <f>(O56*N56)</f>
        <v/>
      </c>
      <c r="Q56" t="inlineStr">
        <is>
          <t>Done</t>
        </is>
      </c>
    </row>
    <row r="57">
      <c r="N57">
        <f>(2*($S$20+N56)/5-N56)</f>
        <v/>
      </c>
      <c r="O57" s="56">
        <f>($T$20*[1]Params!K16)</f>
        <v/>
      </c>
      <c r="P57" s="61">
        <f>(O57*N57)</f>
        <v/>
      </c>
    </row>
    <row r="58">
      <c r="N58">
        <f>($B$24/5)</f>
        <v/>
      </c>
      <c r="O58" s="56">
        <f>($T$20*[1]Params!K17)</f>
        <v/>
      </c>
      <c r="P58" s="61">
        <f>(O58*N58)</f>
        <v/>
      </c>
    </row>
    <row r="59">
      <c r="N59">
        <f>($B$24/5)</f>
        <v/>
      </c>
      <c r="O59" s="56">
        <f>($T$20*[1]Params!K18)</f>
        <v/>
      </c>
      <c r="P59" s="61">
        <f>(O59*N59)</f>
        <v/>
      </c>
    </row>
    <row r="60"/>
    <row r="61">
      <c r="P61" s="61">
        <f>(SUM(P56:P59))</f>
        <v/>
      </c>
    </row>
    <row r="62"/>
    <row r="63"/>
    <row r="64">
      <c r="O64" s="56" t="n"/>
      <c r="P64" s="61" t="n"/>
    </row>
    <row r="65">
      <c r="O65" s="56" t="n"/>
      <c r="P65" s="61" t="n"/>
    </row>
    <row r="66">
      <c r="O66" s="56" t="n"/>
      <c r="P66" s="61" t="n"/>
    </row>
    <row r="67">
      <c r="O67" s="56" t="n"/>
      <c r="P67" s="61" t="n"/>
    </row>
    <row r="68"/>
    <row r="69">
      <c r="P69" s="61" t="n"/>
    </row>
    <row r="70"/>
    <row r="71">
      <c r="M71" t="inlineStr">
        <is>
          <t>DCA 3</t>
        </is>
      </c>
      <c r="N71" t="inlineStr">
        <is>
          <t>Qty to Buy</t>
        </is>
      </c>
      <c r="O71" t="inlineStr">
        <is>
          <t>Token Price</t>
        </is>
      </c>
      <c r="P71" t="inlineStr">
        <is>
          <t>Value</t>
        </is>
      </c>
    </row>
    <row r="72">
      <c r="M72" t="inlineStr">
        <is>
          <t>Objectif</t>
        </is>
      </c>
      <c r="N72">
        <f>($S$24/5)</f>
        <v/>
      </c>
      <c r="O72" s="56">
        <f>($T$24*[1]Params!K15)</f>
        <v/>
      </c>
      <c r="P72" s="61">
        <f>(O72*N72)</f>
        <v/>
      </c>
    </row>
    <row r="73">
      <c r="N73">
        <f>($S$24/5)</f>
        <v/>
      </c>
      <c r="O73" s="56">
        <f>($T$24*[1]Params!K16)</f>
        <v/>
      </c>
      <c r="P73" s="61">
        <f>(O73*N73)</f>
        <v/>
      </c>
    </row>
    <row r="74">
      <c r="N74">
        <f>($S$24/5)</f>
        <v/>
      </c>
      <c r="O74" s="56">
        <f>($T$24*[1]Params!K17)</f>
        <v/>
      </c>
      <c r="P74" s="61">
        <f>(O74*N74)</f>
        <v/>
      </c>
    </row>
    <row r="75">
      <c r="N75">
        <f>($S$24/5)</f>
        <v/>
      </c>
      <c r="O75" s="56">
        <f>($T$24*[1]Params!K18)</f>
        <v/>
      </c>
      <c r="P75" s="61">
        <f>(O75*N75)</f>
        <v/>
      </c>
    </row>
    <row r="76"/>
    <row r="77">
      <c r="P77" s="61">
        <f>(SUM(P72:P75))</f>
        <v/>
      </c>
    </row>
  </sheetData>
  <conditionalFormatting sqref="C5 C7:C17 C19:C20 C22:C25 C34:C36 G37 O9:O11 O19 O25:O27 O33:O35 O41:O43 O49:O51 O57:O59 O65:O67 O72:O75 T5 T7:T21 T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3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3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3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3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3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3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3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3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3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3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3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3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3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3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3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3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3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3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3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3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3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3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3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3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3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3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3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3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3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3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3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3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3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3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3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3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3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3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3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3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3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3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3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3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3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3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3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3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3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3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3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3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3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3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3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3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3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3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3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3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3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3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3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3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3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3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3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3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3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3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3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3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3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3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3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3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3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3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3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3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3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3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3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3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3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3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3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3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3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3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3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3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3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3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3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3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3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3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3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3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3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3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3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3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3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3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3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3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3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3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3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3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3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3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3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3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3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3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3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3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3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3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3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3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3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3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3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3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3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3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3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3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3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3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3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3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3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3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3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3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3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3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3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3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3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3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3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3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3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3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3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3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3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3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3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3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3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3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3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3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3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3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3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3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3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3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3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3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3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3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3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3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3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3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3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3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3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3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3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3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3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3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3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3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3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3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3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3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3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3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3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3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3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3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3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3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3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3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3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3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3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3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3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O6" sqref="O6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0.4065615325907674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>
        <f>(INDEX(B5:B8,MATCH(O6/2,C5:C8,0)))</f>
        <v/>
      </c>
      <c r="O6" s="56">
        <f>(MIN(C5:C8)*2)</f>
        <v/>
      </c>
      <c r="P6" s="56">
        <f>(O6*N6/2)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($C$5*[1]Params!K8)</f>
        <v/>
      </c>
      <c r="P11" s="56">
        <f>(O11*N11)</f>
        <v/>
      </c>
    </row>
    <row r="12">
      <c r="N12">
        <f>($B$5/5)</f>
        <v/>
      </c>
      <c r="O12" s="56">
        <f>($C$5*[1]Params!K9)</f>
        <v/>
      </c>
      <c r="P12" s="56">
        <f>(O12*N12)</f>
        <v/>
      </c>
    </row>
    <row r="13">
      <c r="N13">
        <f>($B$5/5)</f>
        <v/>
      </c>
      <c r="O13" s="56">
        <f>($C$5*[1]Params!K10)</f>
        <v/>
      </c>
      <c r="P13" s="56">
        <f>(O13*N13)</f>
        <v/>
      </c>
    </row>
    <row r="14">
      <c r="N14">
        <f>($B$5/5)</f>
        <v/>
      </c>
      <c r="O14" s="56">
        <f>($C$5*[1]Params!K11)</f>
        <v/>
      </c>
      <c r="P14" s="56">
        <f>(O14*N14)</f>
        <v/>
      </c>
    </row>
    <row r="17">
      <c r="P17" s="56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($C$6*[1]Params!K8)</f>
        <v/>
      </c>
      <c r="P20" s="56">
        <f>(O20*N20)</f>
        <v/>
      </c>
    </row>
    <row r="21">
      <c r="N21">
        <f>($B$6/5)</f>
        <v/>
      </c>
      <c r="O21" s="56">
        <f>($C$6*[1]Params!K9)</f>
        <v/>
      </c>
      <c r="P21" s="56">
        <f>(O21*N21)</f>
        <v/>
      </c>
    </row>
    <row r="22">
      <c r="N22">
        <f>($B$6/5)</f>
        <v/>
      </c>
      <c r="O22" s="56">
        <f>($C$6*[1]Params!K10)</f>
        <v/>
      </c>
      <c r="P22" s="56">
        <f>(O22*N22)</f>
        <v/>
      </c>
    </row>
    <row r="23">
      <c r="N23">
        <f>($B$6/5)</f>
        <v/>
      </c>
      <c r="O23" s="56">
        <f>($C$6*[1]Params!K11)</f>
        <v/>
      </c>
      <c r="P23" s="56">
        <f>(O23*N23)</f>
        <v/>
      </c>
    </row>
    <row r="26">
      <c r="P26" s="56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($C$7*[1]Params!K8)</f>
        <v/>
      </c>
      <c r="P29" s="56">
        <f>(O29*N29)</f>
        <v/>
      </c>
    </row>
    <row r="30">
      <c r="N30">
        <f>($B$7/5)</f>
        <v/>
      </c>
      <c r="O30" s="56">
        <f>($C$7*[1]Params!K9)</f>
        <v/>
      </c>
      <c r="P30" s="56">
        <f>(O30*N30)</f>
        <v/>
      </c>
    </row>
    <row r="31">
      <c r="N31">
        <f>($B$7/5)</f>
        <v/>
      </c>
      <c r="O31" s="56">
        <f>($C$7*[1]Params!K10)</f>
        <v/>
      </c>
      <c r="P31" s="56">
        <f>(O31*N31)</f>
        <v/>
      </c>
    </row>
    <row r="32">
      <c r="N32">
        <f>($B$7/5)</f>
        <v/>
      </c>
      <c r="O32" s="56">
        <f>($C$7*[1]Params!K11)</f>
        <v/>
      </c>
      <c r="P32" s="56">
        <f>(O32*N32)</f>
        <v/>
      </c>
    </row>
    <row r="35">
      <c r="P35" s="56">
        <f>(SUM(P29:P32))</f>
        <v/>
      </c>
    </row>
  </sheetData>
  <conditionalFormatting sqref="C5:C7 O6 O11:O14 O20:O23 O29:O32">
    <cfRule type="cellIs" priority="9" operator="lessThan" dxfId="1">
      <formula>$J$3</formula>
    </cfRule>
    <cfRule type="cellIs" priority="10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751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4" t="n">
        <v>0.005518925129660146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9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</v>
      </c>
    </row>
    <row r="6">
      <c r="B6" s="8" t="inlineStr">
        <is>
          <t>Pearce X4</t>
        </is>
      </c>
      <c r="C6" s="59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(SUM(K35:K43)-C77*J3+D77)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(-SUM(E9:E31))</f>
        <v/>
      </c>
      <c r="K14" s="57">
        <f>(J14-M38-M39-M40-M42-L43)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(J15+M47)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  <c r="R18" s="57" t="n"/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9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9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9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6" t="n">
        <v>4</v>
      </c>
      <c r="D30" s="56" t="n">
        <v>0.01</v>
      </c>
      <c r="E30" s="56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5" t="n">
        <v>-8.444000000000001</v>
      </c>
      <c r="D31" s="65">
        <f>-C31*6%</f>
        <v/>
      </c>
      <c r="E31" s="65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6">
        <f>E35*$N$5</f>
        <v/>
      </c>
      <c r="G35" s="56" t="n">
        <v>3.5</v>
      </c>
      <c r="H35" s="67">
        <f>G51</f>
        <v/>
      </c>
      <c r="I35" s="57">
        <f>((F35-H35*D35)*$J$3-G35)</f>
        <v/>
      </c>
      <c r="J35" t="n">
        <v>1</v>
      </c>
      <c r="K35" s="68">
        <f>I35*J35</f>
        <v/>
      </c>
      <c r="L35" s="69" t="n">
        <v>31</v>
      </c>
      <c r="M35" s="69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6">
        <f>E36*$N$5</f>
        <v/>
      </c>
      <c r="G36" s="56" t="n">
        <v>3.5</v>
      </c>
      <c r="H36" s="67">
        <f>G52</f>
        <v/>
      </c>
      <c r="I36" s="57">
        <f>((F36-H36*D36)*$J$3-G36)</f>
        <v/>
      </c>
      <c r="J36" t="n">
        <v>1</v>
      </c>
      <c r="K36" s="68">
        <f>I36*J36</f>
        <v/>
      </c>
      <c r="L36" s="69" t="n">
        <v>8.699999999999999</v>
      </c>
      <c r="M36" s="69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6">
        <f>E37*$N$5</f>
        <v/>
      </c>
      <c r="G37" s="56" t="n">
        <v>3.5</v>
      </c>
      <c r="H37" s="67">
        <f>G53</f>
        <v/>
      </c>
      <c r="I37" s="57">
        <f>((F37-H37*D37)*$J$3-G37)</f>
        <v/>
      </c>
      <c r="J37" t="n">
        <v>1</v>
      </c>
      <c r="K37" s="68">
        <f>I37*J37</f>
        <v/>
      </c>
      <c r="L37" s="69" t="n">
        <v>7.3</v>
      </c>
      <c r="M37" s="69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6">
        <f>E38*$N$5</f>
        <v/>
      </c>
      <c r="G38" s="56" t="n">
        <v>0</v>
      </c>
      <c r="H38" s="67">
        <f>G53</f>
        <v/>
      </c>
      <c r="I38" s="57">
        <f>((F38-H38*D38)*$J$3-G38)</f>
        <v/>
      </c>
      <c r="J38" t="n">
        <v>3</v>
      </c>
      <c r="K38" s="68">
        <f>I38*J38</f>
        <v/>
      </c>
      <c r="L38" s="69">
        <f>L37</f>
        <v/>
      </c>
      <c r="M38" s="69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6">
        <f>E39*$N$5</f>
        <v/>
      </c>
      <c r="G39" s="56" t="n">
        <v>0</v>
      </c>
      <c r="H39" s="67">
        <f>H38</f>
        <v/>
      </c>
      <c r="I39" s="57">
        <f>((F39-H39*D39)*$J$3-G39)</f>
        <v/>
      </c>
      <c r="J39" t="n">
        <v>1</v>
      </c>
      <c r="K39" s="68">
        <f>I39*J39</f>
        <v/>
      </c>
      <c r="L39" s="69">
        <f>L38</f>
        <v/>
      </c>
      <c r="M39" s="69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6">
        <f>E40*$N$5</f>
        <v/>
      </c>
      <c r="G40" s="56" t="n">
        <v>0</v>
      </c>
      <c r="H40" s="67">
        <f>H39</f>
        <v/>
      </c>
      <c r="I40" s="57">
        <f>((F40-H40*D40)*$J$3-G40)</f>
        <v/>
      </c>
      <c r="J40" t="n">
        <v>1</v>
      </c>
      <c r="K40" s="68">
        <f>I40*J40</f>
        <v/>
      </c>
      <c r="L40" s="69">
        <f>L39</f>
        <v/>
      </c>
      <c r="M40" s="69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0" t="n">
        <v>0</v>
      </c>
      <c r="H41" s="71">
        <f>H36</f>
        <v/>
      </c>
      <c r="I41" s="70">
        <f>((F41-H41*D41)*$J$3-G41)</f>
        <v/>
      </c>
      <c r="J41" s="16" t="n">
        <v>1</v>
      </c>
      <c r="K41" s="72">
        <f>I41*J41</f>
        <v/>
      </c>
      <c r="L41" s="73" t="n">
        <v>0</v>
      </c>
      <c r="M41" s="73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0" t="n">
        <v>0</v>
      </c>
      <c r="H42" s="71">
        <f>(H38)</f>
        <v/>
      </c>
      <c r="I42" s="70">
        <f>((F42-H42*D42)*$J$3-G42)</f>
        <v/>
      </c>
      <c r="J42" s="16" t="n">
        <v>1</v>
      </c>
      <c r="K42" s="72">
        <f>(I42*J42)</f>
        <v/>
      </c>
      <c r="L42" s="73" t="n">
        <v>0</v>
      </c>
      <c r="M42" s="73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68" t="n"/>
      <c r="L43" s="69" t="n">
        <v>13</v>
      </c>
      <c r="M43" s="69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69" t="n">
        <v>0.4</v>
      </c>
      <c r="M44" s="69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69" t="n">
        <v>0.35</v>
      </c>
      <c r="M45" s="69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69" t="n">
        <v>1.5</v>
      </c>
      <c r="M46" s="69">
        <f>(L46*J46)</f>
        <v/>
      </c>
      <c r="V46" s="57" t="n"/>
    </row>
    <row r="47">
      <c r="L47" t="inlineStr">
        <is>
          <t>Total</t>
        </is>
      </c>
      <c r="M47" s="69">
        <f>(SUM(M34:M46))</f>
        <v/>
      </c>
      <c r="O47" s="69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4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4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4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5" t="n">
        <v>1.14</v>
      </c>
      <c r="E60" s="62">
        <f>D60/C60</f>
        <v/>
      </c>
    </row>
    <row r="61">
      <c r="B61" s="8" t="n"/>
      <c r="C61" s="19" t="n">
        <v>130.53974622</v>
      </c>
      <c r="D61" s="75" t="n">
        <v>1.179312</v>
      </c>
      <c r="E61" s="62">
        <f>D61/C61</f>
        <v/>
      </c>
    </row>
    <row r="62">
      <c r="B62" s="8" t="n"/>
      <c r="C62" s="19" t="n">
        <v>167.40487412</v>
      </c>
      <c r="D62" s="75" t="n">
        <v>1.05481</v>
      </c>
      <c r="E62" s="62">
        <f>D62/C62</f>
        <v/>
      </c>
    </row>
    <row r="63">
      <c r="B63" s="8" t="n"/>
      <c r="C63" s="19" t="n">
        <v>167.96828</v>
      </c>
      <c r="D63" s="75">
        <f>1.0512-0.00017</f>
        <v/>
      </c>
      <c r="E63" s="62">
        <f>D63/C63</f>
        <v/>
      </c>
    </row>
    <row r="64">
      <c r="B64" s="8" t="n"/>
      <c r="C64" s="19" t="n">
        <v>123.66</v>
      </c>
      <c r="D64" s="75" t="n">
        <v>1.049</v>
      </c>
      <c r="E64" s="62">
        <f>D64/C64</f>
        <v/>
      </c>
    </row>
    <row r="65">
      <c r="B65" s="8" t="n"/>
      <c r="C65" s="19" t="n">
        <v>149.5</v>
      </c>
      <c r="D65" s="75" t="n">
        <v>1.17</v>
      </c>
      <c r="E65" s="62">
        <f>D65/C65</f>
        <v/>
      </c>
    </row>
    <row r="66">
      <c r="B66" s="8" t="n"/>
      <c r="C66" s="19" t="n">
        <v>170.62</v>
      </c>
      <c r="D66" s="75" t="n">
        <v>1.158</v>
      </c>
      <c r="E66" s="62">
        <f>D66/C66</f>
        <v/>
      </c>
    </row>
    <row r="67">
      <c r="B67" s="8" t="n"/>
      <c r="C67" s="19" t="n">
        <v>192.66</v>
      </c>
      <c r="D67" s="75" t="n">
        <v>1.09</v>
      </c>
      <c r="E67" s="62">
        <f>D67/C67</f>
        <v/>
      </c>
    </row>
    <row r="68">
      <c r="B68" s="8" t="n"/>
      <c r="C68" s="19" t="n">
        <v>257.34</v>
      </c>
      <c r="D68" s="75" t="n">
        <v>1.13</v>
      </c>
      <c r="E68" s="62">
        <f>(D68/C68)</f>
        <v/>
      </c>
    </row>
    <row r="69">
      <c r="B69" s="8" t="n"/>
      <c r="C69" s="19" t="n">
        <v>312.13</v>
      </c>
      <c r="D69" s="75" t="n">
        <v>0.82</v>
      </c>
      <c r="E69" s="62">
        <f>(D69/C69)</f>
        <v/>
      </c>
    </row>
    <row r="70">
      <c r="B70" s="8" t="n"/>
      <c r="C70" s="19" t="n">
        <v>352.461</v>
      </c>
      <c r="D70" s="75" t="n">
        <v>1.2074</v>
      </c>
      <c r="E70" s="62">
        <f>(D70/C70)</f>
        <v/>
      </c>
    </row>
    <row r="71">
      <c r="B71" s="8" t="n"/>
      <c r="C71" s="19" t="n">
        <v>263.04</v>
      </c>
      <c r="D71" s="75" t="n">
        <v>1.0588</v>
      </c>
      <c r="E71" s="62">
        <f>(D71/C71)</f>
        <v/>
      </c>
    </row>
    <row r="72">
      <c r="B72" s="8" t="n"/>
      <c r="C72" s="19" t="n">
        <v>359.00496</v>
      </c>
      <c r="D72" s="75" t="n">
        <v>1.1195</v>
      </c>
      <c r="E72" s="62">
        <f>(D72/C72)</f>
        <v/>
      </c>
    </row>
    <row r="73">
      <c r="B73" s="8" t="n"/>
      <c r="C73" s="19" t="n">
        <v>327.91</v>
      </c>
      <c r="D73" s="75" t="n">
        <v>1.0785</v>
      </c>
      <c r="E73" s="62">
        <f>(D73/C73)</f>
        <v/>
      </c>
    </row>
    <row r="74">
      <c r="B74" s="8" t="n"/>
      <c r="C74" s="19" t="n">
        <v>925.39</v>
      </c>
      <c r="D74" s="75" t="n">
        <v>3.1734</v>
      </c>
      <c r="E74" s="62">
        <f>(D74/C74)</f>
        <v/>
      </c>
    </row>
    <row r="75">
      <c r="B75" s="8" t="n"/>
      <c r="C75" s="19" t="n">
        <v>109.44</v>
      </c>
      <c r="D75" s="75" t="n"/>
      <c r="E75" s="62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6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(-270/3)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8" t="n">
        <v>0.01</v>
      </c>
      <c r="E5" s="58">
        <f>C5*D5</f>
        <v/>
      </c>
    </row>
    <row r="6">
      <c r="B6" t="inlineStr">
        <is>
          <t>Fico</t>
        </is>
      </c>
      <c r="C6">
        <f>48*(G3-2)</f>
        <v/>
      </c>
      <c r="D6" s="58" t="n">
        <v>0.0001424</v>
      </c>
      <c r="E6" s="58">
        <f>C6*D6</f>
        <v/>
      </c>
    </row>
    <row r="9">
      <c r="E9" s="58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O18" sqref="O18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21"/>
    <col width="9.140625" customWidth="1" style="14" min="222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9.215039880407856</v>
      </c>
      <c r="M3" t="inlineStr">
        <is>
          <t>Objectif :</t>
        </is>
      </c>
      <c r="N3" s="24">
        <f>(INDEX(N5:N21,MATCH(MAX(O6:O8),O5:O21,0))/0.85)</f>
        <v/>
      </c>
      <c r="O3" s="57">
        <f>(MAX(O6:O8)*0.75)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6">
        <f>4</f>
        <v/>
      </c>
      <c r="D5" s="56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1.274e-05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">
        <f>$B$5/5</f>
        <v/>
      </c>
      <c r="O6" s="56">
        <f>($C$5*[1]Params!K8)</f>
        <v/>
      </c>
      <c r="P6" s="56">
        <f>O6*N6</f>
        <v/>
      </c>
      <c r="Q6" t="inlineStr">
        <is>
          <t>Done</t>
        </is>
      </c>
      <c r="R6" s="2">
        <f>(B6)</f>
        <v/>
      </c>
      <c r="S6" s="59" t="n">
        <v>0</v>
      </c>
      <c r="T6" s="59">
        <f>(D6)</f>
        <v/>
      </c>
      <c r="U6" s="56">
        <f>(R6*J3)</f>
        <v/>
      </c>
    </row>
    <row r="7">
      <c r="B7" s="1" t="n">
        <v>-0.28055386</v>
      </c>
      <c r="C7" s="56">
        <f>D7/B7</f>
        <v/>
      </c>
      <c r="D7" s="56" t="n">
        <v>-4</v>
      </c>
      <c r="N7" s="1">
        <f>$B$5/5</f>
        <v/>
      </c>
      <c r="O7" s="56">
        <f>($C$5*[1]Params!K9)</f>
        <v/>
      </c>
      <c r="P7" s="56">
        <f>O7*N7</f>
        <v/>
      </c>
      <c r="Q7" t="inlineStr">
        <is>
          <t>Done</t>
        </is>
      </c>
      <c r="R7" s="66" t="n"/>
      <c r="S7" s="56" t="n"/>
      <c r="T7" s="56" t="n"/>
    </row>
    <row r="8">
      <c r="B8" s="1" t="n"/>
      <c r="C8" s="56" t="n"/>
      <c r="D8" s="56" t="n"/>
      <c r="N8" s="1">
        <f>$B$5/5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1" t="n"/>
      <c r="S8" s="56" t="n"/>
      <c r="T8" s="56" t="n"/>
    </row>
    <row r="9">
      <c r="B9" s="1" t="n"/>
      <c r="C9" s="56" t="n"/>
      <c r="D9" s="56" t="n"/>
      <c r="N9" s="1">
        <f>($B$13-B7)/5</f>
        <v/>
      </c>
      <c r="O9" s="56">
        <f>($C$5*[1]Params!K11)</f>
        <v/>
      </c>
      <c r="P9" s="56">
        <f>(O9*N9)</f>
        <v/>
      </c>
      <c r="R9" s="1" t="n"/>
      <c r="S9" s="57" t="n"/>
      <c r="T9" s="57" t="n"/>
    </row>
    <row r="10">
      <c r="B10" s="1" t="n"/>
      <c r="C10" s="57" t="n"/>
      <c r="D10" s="56" t="n"/>
      <c r="N10" s="1" t="n"/>
      <c r="P10" s="56" t="n"/>
    </row>
    <row r="11">
      <c r="B11" s="1" t="n"/>
      <c r="C11" s="57" t="n"/>
      <c r="D11" s="56" t="n"/>
      <c r="P11" s="56">
        <f>(SUM(P6:P9))</f>
        <v/>
      </c>
    </row>
    <row r="12">
      <c r="F12" t="inlineStr">
        <is>
          <t>Moy</t>
        </is>
      </c>
      <c r="G12" s="76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  <row r="14"/>
    <row r="15"/>
    <row r="16"/>
    <row r="17"/>
    <row r="18">
      <c r="N18" s="1">
        <f>N6+N7+N8+B7</f>
        <v/>
      </c>
      <c r="O18" s="57" t="n"/>
    </row>
    <row r="19"/>
    <row r="20"/>
    <row r="21">
      <c r="E21" s="77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0.5233246258395986</v>
      </c>
      <c r="M3" t="inlineStr">
        <is>
          <t>Objectif :</t>
        </is>
      </c>
      <c r="N3" s="24">
        <f>(INDEX(N5:N21,MATCH(MAX(O6:O7),O5:O21,0))/0.9)</f>
        <v/>
      </c>
      <c r="O3" s="57">
        <f>(MAX(O6:O7)*0.85)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0.73952726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">
        <f>-B10</f>
        <v/>
      </c>
      <c r="O6" s="56">
        <f>P6/N6</f>
        <v/>
      </c>
      <c r="P6" s="56">
        <f>-D10</f>
        <v/>
      </c>
      <c r="Q6" t="inlineStr">
        <is>
          <t>Done</t>
        </is>
      </c>
      <c r="R6" s="2">
        <f>(B6)</f>
        <v/>
      </c>
      <c r="S6" s="59" t="n">
        <v>0</v>
      </c>
      <c r="T6" s="59">
        <f>(D6)</f>
        <v/>
      </c>
      <c r="U6" s="56">
        <f>(R6*J3)</f>
        <v/>
      </c>
    </row>
    <row r="7">
      <c r="B7" s="1" t="n">
        <v>114.98538983</v>
      </c>
      <c r="C7" s="56">
        <f>(D7/B7)</f>
        <v/>
      </c>
      <c r="D7" s="56" t="n">
        <v>40.3</v>
      </c>
      <c r="E7" t="inlineStr">
        <is>
          <t>DCA2</t>
        </is>
      </c>
      <c r="N7" s="1">
        <f>-B11</f>
        <v/>
      </c>
      <c r="O7" s="56">
        <f>($S$7*[1]Params!K9)</f>
        <v/>
      </c>
      <c r="P7" s="56">
        <f>-D11</f>
        <v/>
      </c>
      <c r="Q7" t="inlineStr">
        <is>
          <t>Done</t>
        </is>
      </c>
      <c r="R7" s="66">
        <f>B7+B10</f>
        <v/>
      </c>
      <c r="S7" s="56">
        <f>(T7/R7)</f>
        <v/>
      </c>
      <c r="T7" s="56">
        <f>D7+B10*0.3388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3*($B$13-B11-B10)/5-N7-N6</f>
        <v/>
      </c>
      <c r="O8" s="56">
        <f>($C$7*[1]Params!K10)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($C$7*[1]Params!K11)</f>
        <v/>
      </c>
      <c r="P9" s="56">
        <f>(O9*N9)</f>
        <v/>
      </c>
      <c r="R9" s="1">
        <f>B10-B10</f>
        <v/>
      </c>
      <c r="S9" s="57" t="n">
        <v>0</v>
      </c>
      <c r="T9" s="57">
        <f>D10-B10*0.3388</f>
        <v/>
      </c>
    </row>
    <row r="10">
      <c r="B10" s="1" t="n">
        <v>-22.57</v>
      </c>
      <c r="C10" s="57">
        <f>D10/B10</f>
        <v/>
      </c>
      <c r="D10" s="56" t="n">
        <v>-10.08242897</v>
      </c>
      <c r="N10" s="1" t="n"/>
      <c r="P10" s="56" t="n"/>
    </row>
    <row r="11">
      <c r="B11" s="1" t="n">
        <v>-22.5</v>
      </c>
      <c r="C11" s="57">
        <f>D11/B11</f>
        <v/>
      </c>
      <c r="D11" s="56" t="n">
        <v>-12.306</v>
      </c>
      <c r="P11" s="56">
        <f>(SUM(P6:P9))</f>
        <v/>
      </c>
    </row>
    <row r="12">
      <c r="F12" t="inlineStr">
        <is>
          <t>Moy</t>
        </is>
      </c>
      <c r="G12" s="76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O4" sqref="O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0.1903595676623113</v>
      </c>
      <c r="M3" t="inlineStr">
        <is>
          <t>Objectif :</t>
        </is>
      </c>
      <c r="N3" s="24">
        <f>(INDEX(N5:N23,MATCH(MAX(O6),O5:O23,0))/0.85)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(T5/R5)</f>
        <v/>
      </c>
      <c r="T5" s="56">
        <f>D5</f>
        <v/>
      </c>
    </row>
    <row r="6">
      <c r="B6" s="2" t="n">
        <v>0.56749661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66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78">
        <f>(B6)</f>
        <v/>
      </c>
      <c r="S6" s="59" t="n">
        <v>0</v>
      </c>
      <c r="T6" s="59">
        <f>(D6)</f>
        <v/>
      </c>
      <c r="U6" s="56">
        <f>(E6)</f>
        <v/>
      </c>
    </row>
    <row r="7">
      <c r="B7" s="66" t="n">
        <v>-12.028</v>
      </c>
      <c r="C7" s="56">
        <f>(D7/B7)</f>
        <v/>
      </c>
      <c r="D7" s="56" t="n">
        <v>-2.549936</v>
      </c>
      <c r="N7" s="66">
        <f>2*($B$14-$B$11)/5-N6</f>
        <v/>
      </c>
      <c r="O7" s="56">
        <f>($C$5*[1]Params!K9)</f>
        <v/>
      </c>
      <c r="P7" s="56">
        <f>(O7*N7)</f>
        <v/>
      </c>
      <c r="R7" s="66">
        <f>SUM(B7:B10)</f>
        <v/>
      </c>
      <c r="S7" s="56" t="n">
        <v>0</v>
      </c>
      <c r="T7" s="56">
        <f>SUM(D7:D10)</f>
        <v/>
      </c>
      <c r="U7" s="57" t="n"/>
    </row>
    <row r="8">
      <c r="B8" s="66" t="n">
        <v>-12</v>
      </c>
      <c r="C8" s="56">
        <f>(D8/B8)</f>
        <v/>
      </c>
      <c r="D8" s="56" t="n">
        <v>-3.06</v>
      </c>
      <c r="N8" s="66">
        <f>($B$14-$B$11)/5</f>
        <v/>
      </c>
      <c r="O8" s="56">
        <f>($C$5*[1]Params!K10)</f>
        <v/>
      </c>
      <c r="P8" s="56">
        <f>(O8*N8)</f>
        <v/>
      </c>
      <c r="R8" s="66">
        <f>B11</f>
        <v/>
      </c>
      <c r="S8" s="56">
        <f>(T8/R8)</f>
        <v/>
      </c>
      <c r="T8" s="56">
        <f>D11</f>
        <v/>
      </c>
    </row>
    <row r="9">
      <c r="B9" s="66" t="n">
        <v>13.39371616</v>
      </c>
      <c r="C9" s="56">
        <f>(D9/B9)</f>
        <v/>
      </c>
      <c r="D9" s="56" t="n">
        <v>2.8758</v>
      </c>
      <c r="N9" s="66">
        <f>($B$14-$B$11)/5</f>
        <v/>
      </c>
      <c r="O9" s="56">
        <f>($C$5*[1]Params!K11)</f>
        <v/>
      </c>
      <c r="P9" s="56">
        <f>(O9*N9)</f>
        <v/>
      </c>
    </row>
    <row r="10">
      <c r="B10" s="66" t="n">
        <v>13.23709339</v>
      </c>
      <c r="C10" s="56">
        <f>(D10/B10)</f>
        <v/>
      </c>
      <c r="D10" s="56" t="n">
        <v>2.41</v>
      </c>
    </row>
    <row r="11">
      <c r="B11" s="66" t="n">
        <v>-12.66</v>
      </c>
      <c r="C11" s="56">
        <f>(D11/B11)</f>
        <v/>
      </c>
      <c r="D11" s="56" t="n">
        <v>-2.81724106</v>
      </c>
    </row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6">
        <f>(SUM(B5:B13))</f>
        <v/>
      </c>
      <c r="D14" s="56">
        <f>(SUM(D5:D13))</f>
        <v/>
      </c>
    </row>
    <row r="15"/>
    <row r="16"/>
    <row r="17">
      <c r="N17" s="66" t="n"/>
      <c r="R17" s="66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5 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D13" sqref="D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1.403651536992415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13.4383682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9" t="n">
        <v>0</v>
      </c>
      <c r="T5" s="60">
        <f>(D6)</f>
        <v/>
      </c>
      <c r="U5" s="56">
        <f>(R5*J3)</f>
        <v/>
      </c>
    </row>
    <row r="6">
      <c r="B6" s="78" t="n">
        <v>0.58369216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(SUM(R5:R7)/5)</f>
        <v/>
      </c>
      <c r="O6" s="56">
        <f>($C$5*[1]Params!K8)</f>
        <v/>
      </c>
      <c r="P6" s="56">
        <f>(O6*N6)</f>
        <v/>
      </c>
      <c r="R6" s="66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66" t="n">
        <v>-0.2273</v>
      </c>
      <c r="C7" s="56">
        <f>(D7/B7)</f>
        <v/>
      </c>
      <c r="D7" s="56" t="n">
        <v>-1.125135</v>
      </c>
      <c r="N7" s="66">
        <f>(SUM(R5:R7)/5)</f>
        <v/>
      </c>
      <c r="O7" s="56">
        <f>($C$5*[1]Params!K9)</f>
        <v/>
      </c>
      <c r="P7" s="56">
        <f>(O7*N7)</f>
        <v/>
      </c>
      <c r="R7" s="66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66" t="n">
        <v>-0.305</v>
      </c>
      <c r="C8" s="56">
        <f>(D8/B8)</f>
        <v/>
      </c>
      <c r="D8" s="56" t="n">
        <v>-1.91101378</v>
      </c>
      <c r="N8" s="66">
        <f>(SUM(R5:R7)/5)</f>
        <v/>
      </c>
      <c r="O8" s="56">
        <f>($C$5*[1]Params!K10)</f>
        <v/>
      </c>
      <c r="P8" s="56">
        <f>(O8*N8)</f>
        <v/>
      </c>
    </row>
    <row r="9">
      <c r="B9" s="66" t="n">
        <v>0.34203371</v>
      </c>
      <c r="C9" s="56">
        <f>(D9/B9)</f>
        <v/>
      </c>
      <c r="D9" s="56" t="n">
        <v>1.8</v>
      </c>
      <c r="N9" s="66">
        <f>(SUM(R5:R7)/5)</f>
        <v/>
      </c>
      <c r="O9" s="56">
        <f>($C$5*[1]Params!K11)</f>
        <v/>
      </c>
      <c r="P9" s="56">
        <f>(O9*N9)</f>
        <v/>
      </c>
    </row>
    <row r="10">
      <c r="B10" s="66" t="n">
        <v>0.25620803</v>
      </c>
      <c r="C10" s="56">
        <f>(D10/B10)</f>
        <v/>
      </c>
      <c r="D10" s="56" t="n">
        <v>1.06</v>
      </c>
    </row>
    <row r="11">
      <c r="B11" s="66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66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66">
        <f>(SUM(B5:B13))</f>
        <v/>
      </c>
      <c r="D14" s="56">
        <f>(SUM(D5:D13))</f>
        <v/>
      </c>
      <c r="R14" s="66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66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9.820014139239483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66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6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($C$5*[1]Params!K8)</f>
        <v/>
      </c>
      <c r="P6" s="56">
        <f>(O6*N6)</f>
        <v/>
      </c>
    </row>
    <row r="7">
      <c r="B7" s="78" t="n">
        <v>0.02713422</v>
      </c>
      <c r="C7" s="59" t="n">
        <v>0</v>
      </c>
      <c r="D7" s="60">
        <f>(C7*B7)</f>
        <v/>
      </c>
      <c r="E7" s="56">
        <f>(B7*J4)</f>
        <v/>
      </c>
      <c r="N7" s="1">
        <f>(SUM($B$5:$B$7)/5)</f>
        <v/>
      </c>
      <c r="O7" s="56">
        <f>($C$5*[1]Params!K9)</f>
        <v/>
      </c>
      <c r="P7" s="56">
        <f>(O7*N7)</f>
        <v/>
      </c>
    </row>
    <row r="8">
      <c r="N8" s="1">
        <f>(SUM($B$5:$B$7)/5)</f>
        <v/>
      </c>
      <c r="O8" s="56">
        <f>($C$5*[1]Params!K10)</f>
        <v/>
      </c>
      <c r="P8" s="56">
        <f>(O8*N8)</f>
        <v/>
      </c>
    </row>
    <row r="9">
      <c r="N9" s="1">
        <f>(SUM($B$5:$B$7)/5)</f>
        <v/>
      </c>
      <c r="O9" s="56">
        <f>($C$5*[1]Params!K11)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34.58927264413521</v>
      </c>
      <c r="M3" t="inlineStr">
        <is>
          <t>Objectif :</t>
        </is>
      </c>
      <c r="N3" s="24">
        <f>(INDEX(N5:N23,MATCH(MAX(O20:O22,O6:O8),O5:O23,0))/0.85)</f>
        <v/>
      </c>
      <c r="O3" s="57">
        <f>(MAX(O20:O22,O6:O8)*0.75)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2.53731589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9" t="n">
        <v>0</v>
      </c>
      <c r="T5" s="60">
        <f>(D6)</f>
        <v/>
      </c>
      <c r="U5" s="56">
        <f>(R5*J3)</f>
        <v/>
      </c>
    </row>
    <row r="6">
      <c r="B6" s="25" t="n">
        <v>0.01626793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($C$5*[1]Params!K8)</f>
        <v/>
      </c>
      <c r="P6" s="56">
        <f>(O6*N6)</f>
        <v/>
      </c>
      <c r="Q6" t="inlineStr">
        <is>
          <t>Done</t>
        </is>
      </c>
      <c r="R6" s="24">
        <f>B5+B13+B15+B17</f>
        <v/>
      </c>
      <c r="S6" s="56">
        <f>(T6/R6)</f>
        <v/>
      </c>
      <c r="T6" s="56">
        <f>D5-(-B13-B15)*15.13+B17*15.25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-B15</f>
        <v/>
      </c>
      <c r="O7" s="56">
        <f>P7/N7</f>
        <v/>
      </c>
      <c r="P7" s="56">
        <f>-D15</f>
        <v/>
      </c>
      <c r="Q7" t="inlineStr">
        <is>
          <t>Done</t>
        </is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-B17</f>
        <v/>
      </c>
      <c r="O8" s="56">
        <f>P8/N8</f>
        <v/>
      </c>
      <c r="P8" s="56">
        <f>-D17</f>
        <v/>
      </c>
      <c r="Q8" t="inlineStr">
        <is>
          <t>Done</t>
        </is>
      </c>
      <c r="R8" s="24">
        <f>(B10)+B12+B14+B16</f>
        <v/>
      </c>
      <c r="S8" s="56">
        <f>(T8/R8)</f>
        <v/>
      </c>
      <c r="T8" s="56">
        <f>(D10)-(-B12-B14-B16)*14.31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4*($B$5+$R$7+R5)/5-N6-N7-N8</f>
        <v/>
      </c>
      <c r="O9" s="56">
        <f>($S$6*[1]Params!K11)</f>
        <v/>
      </c>
      <c r="P9" s="56">
        <f>(O9*N9)</f>
        <v/>
      </c>
      <c r="R9" s="24">
        <f>B12-B12</f>
        <v/>
      </c>
      <c r="S9" s="57" t="n">
        <v>0</v>
      </c>
      <c r="T9" s="57">
        <f>D12-B12*14.31</f>
        <v/>
      </c>
    </row>
    <row r="10">
      <c r="B10" s="24" t="n">
        <v>0.7101086</v>
      </c>
      <c r="C10" s="56">
        <f>(D10/B10)</f>
        <v/>
      </c>
      <c r="D10" s="56" t="n">
        <v>10.71</v>
      </c>
      <c r="E10" t="inlineStr">
        <is>
          <t>DCA4</t>
        </is>
      </c>
      <c r="R10" s="24">
        <f>B13-B13</f>
        <v/>
      </c>
      <c r="S10" s="57" t="n">
        <v>0</v>
      </c>
      <c r="T10" s="57">
        <f>D13-B13*15.13</f>
        <v/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  <c r="R11" s="24">
        <f>B14-B14</f>
        <v/>
      </c>
      <c r="S11" s="57" t="n">
        <v>0</v>
      </c>
      <c r="T11" s="57">
        <f>D14-B14*14.31</f>
        <v/>
      </c>
    </row>
    <row r="12">
      <c r="B12" s="24" t="n">
        <v>-0.1375</v>
      </c>
      <c r="C12" s="56">
        <f>(D12/B12)</f>
        <v/>
      </c>
      <c r="D12" s="56" t="n">
        <v>-2.54918818</v>
      </c>
      <c r="P12" s="56" t="n"/>
      <c r="R12" s="24">
        <f>B15-B15</f>
        <v/>
      </c>
      <c r="S12" s="57" t="n">
        <v>0</v>
      </c>
      <c r="T12" s="57">
        <f>D15-B15*15.13</f>
        <v/>
      </c>
    </row>
    <row r="13">
      <c r="B13" s="24" t="n">
        <v>-0.4967</v>
      </c>
      <c r="C13" s="56">
        <f>(D13/B13)</f>
        <v/>
      </c>
      <c r="D13" s="56" t="n">
        <v>-10.84507767</v>
      </c>
      <c r="P13" s="56" t="n"/>
      <c r="R13" s="24">
        <f>B16-B16</f>
        <v/>
      </c>
      <c r="S13" s="57" t="n">
        <v>0</v>
      </c>
      <c r="T13" s="57">
        <f>D16-B16*14.31</f>
        <v/>
      </c>
    </row>
    <row r="14">
      <c r="B14" s="24" t="n">
        <v>-0.137</v>
      </c>
      <c r="C14" s="56">
        <f>(D14/B14)</f>
        <v/>
      </c>
      <c r="D14" s="56">
        <f>-3.12512811</f>
        <v/>
      </c>
      <c r="P14" s="56" t="n"/>
      <c r="R14" s="24">
        <f>B17-B17</f>
        <v/>
      </c>
      <c r="T14" s="57">
        <f>D17-B17*15.25</f>
        <v/>
      </c>
    </row>
    <row r="15">
      <c r="B15" s="24" t="n">
        <v>-0.4967</v>
      </c>
      <c r="C15" s="56">
        <f>(D15/B15)</f>
        <v/>
      </c>
      <c r="D15" s="56" t="n">
        <v>-12.12691623</v>
      </c>
      <c r="P15" s="56" t="n"/>
    </row>
    <row r="16">
      <c r="B16" s="24" t="n">
        <v>-0.138</v>
      </c>
      <c r="C16" s="56">
        <f>(D16/B16)</f>
        <v/>
      </c>
      <c r="D16" s="56" t="n">
        <v>-4.41956614</v>
      </c>
      <c r="P16" s="56" t="n"/>
    </row>
    <row r="17">
      <c r="B17" s="24" t="n">
        <v>-0.5049</v>
      </c>
      <c r="C17" s="56">
        <f>(D17/B17)</f>
        <v/>
      </c>
      <c r="D17" s="56" t="n">
        <v>-18.26254246</v>
      </c>
      <c r="P17" s="56" t="n"/>
    </row>
    <row r="18">
      <c r="F18" t="inlineStr">
        <is>
          <t>Moy</t>
        </is>
      </c>
      <c r="G18" s="56">
        <f>(D19/B19)</f>
        <v/>
      </c>
    </row>
    <row r="19">
      <c r="B19" s="24">
        <f>(SUM(B5:B18))</f>
        <v/>
      </c>
      <c r="D19" s="56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24">
        <f>(SUM(R5:R18))</f>
        <v/>
      </c>
      <c r="T19" s="56">
        <f>(SUM(T5:T18))</f>
        <v/>
      </c>
    </row>
    <row r="20">
      <c r="M20" t="inlineStr">
        <is>
          <t>Objectif</t>
        </is>
      </c>
      <c r="N20" s="24">
        <f>-B12</f>
        <v/>
      </c>
      <c r="O20" s="56">
        <f>18.6</f>
        <v/>
      </c>
      <c r="P20" s="56">
        <f>-D12</f>
        <v/>
      </c>
      <c r="Q20" t="inlineStr">
        <is>
          <t>Done</t>
        </is>
      </c>
    </row>
    <row r="21">
      <c r="N21" s="24">
        <f>-B14</f>
        <v/>
      </c>
      <c r="O21" s="56">
        <f>C14</f>
        <v/>
      </c>
      <c r="P21" s="56">
        <f>-D14</f>
        <v/>
      </c>
      <c r="Q21" t="inlineStr">
        <is>
          <t>Done</t>
        </is>
      </c>
    </row>
    <row r="22">
      <c r="N22" s="24">
        <f>-B16</f>
        <v/>
      </c>
      <c r="O22" s="56">
        <f>C16</f>
        <v/>
      </c>
      <c r="P22" s="56">
        <f>-D16</f>
        <v/>
      </c>
      <c r="Q22" t="inlineStr">
        <is>
          <t>Done</t>
        </is>
      </c>
    </row>
    <row r="23">
      <c r="N23" s="24">
        <f>4*($B$10)/5-N20-N21-N22</f>
        <v/>
      </c>
      <c r="O23" s="56">
        <f>($S$8*[1]Params!K11)</f>
        <v/>
      </c>
      <c r="P23" s="56">
        <f>(O23*N23)</f>
        <v/>
      </c>
    </row>
    <row r="24"/>
    <row r="25">
      <c r="P25" s="56">
        <f>(SUM(P20:P23))</f>
        <v/>
      </c>
    </row>
    <row r="26"/>
    <row r="27"/>
    <row r="28"/>
    <row r="29"/>
    <row r="30"/>
    <row r="31"/>
    <row r="32">
      <c r="R32" s="57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79" t="n">
        <v>0.003566384276380808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79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79">
        <f>(T5/R5)</f>
        <v/>
      </c>
      <c r="T5" s="57">
        <f>(D5)</f>
        <v/>
      </c>
    </row>
    <row r="6">
      <c r="B6" s="19" t="n">
        <v>-170.21276596</v>
      </c>
      <c r="C6" s="79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79">
        <f>($C$5*[1]Params!K8)</f>
        <v/>
      </c>
      <c r="P6" s="56">
        <f>(O6*N6)</f>
        <v/>
      </c>
      <c r="R6" s="19">
        <f>(SUM(B6:B11))</f>
        <v/>
      </c>
      <c r="S6" s="79" t="n">
        <v>0</v>
      </c>
      <c r="T6" s="57">
        <f>(SUM(D6:D11))</f>
        <v/>
      </c>
    </row>
    <row r="7">
      <c r="B7" s="19" t="n">
        <v>-175.57251908</v>
      </c>
      <c r="C7" s="79">
        <f>(D7/B7)</f>
        <v/>
      </c>
      <c r="D7" s="56" t="n">
        <v>-0.893567</v>
      </c>
      <c r="N7" s="19">
        <f>(($B$5+$R$6)/5)</f>
        <v/>
      </c>
      <c r="O7" s="79">
        <f>($C$5*[1]Params!K9)</f>
        <v/>
      </c>
      <c r="P7" s="56">
        <f>(O7*N7)</f>
        <v/>
      </c>
      <c r="S7" s="79" t="n"/>
    </row>
    <row r="8">
      <c r="B8" s="19" t="n">
        <v>-167.7852349</v>
      </c>
      <c r="C8" s="79">
        <f>(D8/B8)</f>
        <v/>
      </c>
      <c r="D8" s="56" t="n">
        <v>-1.213721</v>
      </c>
      <c r="N8" s="19">
        <f>(($B$5+$R$6)/5)</f>
        <v/>
      </c>
      <c r="O8" s="79">
        <f>($C$5*[1]Params!K10)</f>
        <v/>
      </c>
      <c r="P8" s="56">
        <f>(O8*N8)</f>
        <v/>
      </c>
    </row>
    <row r="9">
      <c r="B9" s="19" t="n">
        <v>196.03891277</v>
      </c>
      <c r="C9" s="79">
        <f>(D9/B9)</f>
        <v/>
      </c>
      <c r="D9" s="56" t="n">
        <v>1.130011</v>
      </c>
      <c r="N9" s="19">
        <f>(($B$5+$R$6)/5)</f>
        <v/>
      </c>
      <c r="O9" s="79">
        <f>($C$5*[1]Params!K11)</f>
        <v/>
      </c>
      <c r="P9" s="56">
        <f>(O9*N9)</f>
        <v/>
      </c>
    </row>
    <row r="10">
      <c r="B10" s="19" t="n">
        <v>197.79050008</v>
      </c>
      <c r="C10" s="79">
        <f>(D10/B10)</f>
        <v/>
      </c>
      <c r="D10" s="56" t="n">
        <v>0.85006</v>
      </c>
    </row>
    <row r="11">
      <c r="B11" s="19" t="n">
        <v>191.37734579</v>
      </c>
      <c r="C11" s="79">
        <f>(D11/B11)</f>
        <v/>
      </c>
      <c r="D11" s="56" t="n">
        <v>0.737757</v>
      </c>
    </row>
    <row r="12">
      <c r="F12" t="inlineStr">
        <is>
          <t>Moy</t>
        </is>
      </c>
      <c r="G12" s="79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5">
      <c r="R15">
        <f>(SUM(R5:R14))</f>
        <v/>
      </c>
      <c r="T15" s="57">
        <f>(SUM(T5:T14))</f>
        <v/>
      </c>
    </row>
    <row r="19">
      <c r="K19" s="57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J41" sqref="J4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307.4384409794952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0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0">
        <f>(B5+B13+B9)</f>
        <v/>
      </c>
      <c r="S5" s="56">
        <f>(T5/R5)</f>
        <v/>
      </c>
      <c r="T5" s="56">
        <f>(D5+D13+D9)</f>
        <v/>
      </c>
    </row>
    <row r="6">
      <c r="B6" s="80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($S$8*[1]Params!K8)</f>
        <v/>
      </c>
      <c r="P6" s="56">
        <f>(O6*N6)</f>
        <v/>
      </c>
      <c r="R6" s="80">
        <f>(B6)</f>
        <v/>
      </c>
      <c r="S6" s="56">
        <f>(C6)</f>
        <v/>
      </c>
      <c r="T6" s="56">
        <f>(R6*S6)</f>
        <v/>
      </c>
    </row>
    <row r="7">
      <c r="B7" s="80" t="n">
        <v>0.000235</v>
      </c>
      <c r="C7" s="56" t="n">
        <v>0</v>
      </c>
      <c r="D7" s="56" t="n">
        <v>0</v>
      </c>
      <c r="E7" s="56">
        <f>(B7*J3)</f>
        <v/>
      </c>
      <c r="I7" t="inlineStr">
        <is>
          <t>Objectif</t>
        </is>
      </c>
      <c r="J7" t="n">
        <v>1</v>
      </c>
      <c r="N7" s="24">
        <f>($R$8/5)</f>
        <v/>
      </c>
      <c r="O7" s="56">
        <f>($S$8*[1]Params!K9)</f>
        <v/>
      </c>
      <c r="P7" s="56">
        <f>(O7*N7)</f>
        <v/>
      </c>
      <c r="R7" s="80">
        <f>(B7+B8+B10)</f>
        <v/>
      </c>
      <c r="S7" s="56">
        <f>(C7)</f>
        <v/>
      </c>
      <c r="T7" s="56">
        <f>(R7*S7)</f>
        <v/>
      </c>
    </row>
    <row r="8">
      <c r="B8" s="80" t="n">
        <v>9.498e-05</v>
      </c>
      <c r="C8" s="56" t="n">
        <v>0</v>
      </c>
      <c r="D8" s="56" t="n">
        <v>0</v>
      </c>
      <c r="E8" s="56">
        <f>(B8*J3)</f>
        <v/>
      </c>
      <c r="I8" t="inlineStr">
        <is>
          <t>Difference</t>
        </is>
      </c>
      <c r="J8" s="80">
        <f>(J7-B17)</f>
        <v/>
      </c>
      <c r="N8" s="24">
        <f>($R$8/5)</f>
        <v/>
      </c>
      <c r="O8" s="56">
        <f>($S$8*[1]Params!K10)</f>
        <v/>
      </c>
      <c r="P8" s="56">
        <f>(O8*N8)</f>
        <v/>
      </c>
      <c r="R8" s="80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80" t="n">
        <v>9.092e-05</v>
      </c>
      <c r="C9" s="56" t="n">
        <v>276</v>
      </c>
      <c r="D9" s="56">
        <f>(B9*C9)</f>
        <v/>
      </c>
      <c r="E9" s="56" t="n"/>
      <c r="I9" t="inlineStr">
        <is>
          <t>Diff in $</t>
        </is>
      </c>
      <c r="J9" s="61">
        <f>(J8*J3)</f>
        <v/>
      </c>
      <c r="N9" s="24">
        <f>($R$8/5)</f>
        <v/>
      </c>
      <c r="O9" s="56">
        <f>($S$8*[1]Params!K11)</f>
        <v/>
      </c>
      <c r="P9" s="56">
        <f>(O9*N9)</f>
        <v/>
      </c>
      <c r="R9" s="80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81" t="n">
        <v>0.00240776</v>
      </c>
      <c r="C10" s="59" t="n">
        <v>0</v>
      </c>
      <c r="D10" s="60" t="n">
        <v>0</v>
      </c>
      <c r="E10" s="56">
        <f>(B10*J3)</f>
        <v/>
      </c>
      <c r="P10" s="56" t="n"/>
      <c r="R10" s="80">
        <f>B14+B15</f>
        <v/>
      </c>
      <c r="S10" s="56" t="n">
        <v>0</v>
      </c>
      <c r="T10" s="57">
        <f>D14+D15</f>
        <v/>
      </c>
    </row>
    <row r="11">
      <c r="B11" s="80" t="n">
        <v>0.56393247</v>
      </c>
      <c r="C11" s="56">
        <f>(D11/B11)</f>
        <v/>
      </c>
      <c r="D11" s="56" t="n">
        <v>160.17</v>
      </c>
      <c r="E11" t="inlineStr">
        <is>
          <t>DCA1</t>
        </is>
      </c>
      <c r="P11" s="56">
        <f>(SUM(P6:P9))</f>
        <v/>
      </c>
    </row>
    <row r="12">
      <c r="B12" s="80" t="n">
        <v>0.14160213</v>
      </c>
      <c r="C12" s="56">
        <f>(D12/B12)</f>
        <v/>
      </c>
      <c r="D12" s="56" t="n">
        <v>40.3</v>
      </c>
      <c r="E12" t="inlineStr">
        <is>
          <t>DCA2</t>
        </is>
      </c>
    </row>
    <row r="13">
      <c r="B13" s="80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0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($S$9*[1]Params!K8)</f>
        <v/>
      </c>
      <c r="P14" s="56">
        <f>(O14*N14)</f>
        <v/>
      </c>
    </row>
    <row r="15">
      <c r="B15" s="80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($S$9*[1]Params!K9)</f>
        <v/>
      </c>
      <c r="P15" s="56">
        <f>(O15*N15)</f>
        <v/>
      </c>
    </row>
    <row r="16">
      <c r="N16" s="24">
        <f>($R$9/5)</f>
        <v/>
      </c>
      <c r="O16" s="56">
        <f>($S$9*[1]Params!K10)</f>
        <v/>
      </c>
      <c r="P16" s="56">
        <f>(O16*N16)</f>
        <v/>
      </c>
    </row>
    <row r="17">
      <c r="B17" s="80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($S$9*[1]Params!K11)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/>
    <row r="22">
      <c r="N22" s="24" t="n"/>
      <c r="O22" s="56" t="n"/>
      <c r="P22" s="56" t="n"/>
    </row>
    <row r="23">
      <c r="N23" s="24" t="n"/>
      <c r="O23" s="56" t="n"/>
      <c r="P23" s="56" t="n"/>
    </row>
    <row r="24">
      <c r="N24" s="24" t="n"/>
      <c r="O24" s="56" t="n"/>
      <c r="P24" s="56" t="n"/>
    </row>
    <row r="25">
      <c r="N25" s="24" t="n"/>
      <c r="O25" s="56" t="n"/>
      <c r="P25" s="56" t="n"/>
    </row>
    <row r="26">
      <c r="P26" s="56" t="n"/>
    </row>
    <row r="27">
      <c r="P27" s="56" t="n"/>
    </row>
    <row r="28"/>
    <row r="29"/>
    <row r="30"/>
    <row r="31"/>
    <row r="32"/>
    <row r="33"/>
    <row r="34"/>
    <row r="35"/>
    <row r="36"/>
    <row r="37">
      <c r="R37" s="80">
        <f>(SUM(R5:R27))</f>
        <v/>
      </c>
      <c r="T37" s="56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K41" sqref="K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2" t="n">
        <v>0.08087355492140298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66" t="n">
        <v>61.11911839</v>
      </c>
      <c r="C5" s="7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0.28046557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($B$13/5)</f>
        <v/>
      </c>
      <c r="O6" s="56">
        <f>($C$5*[1]Params!K8)</f>
        <v/>
      </c>
      <c r="P6" s="56">
        <f>(O6*N6)</f>
        <v/>
      </c>
    </row>
    <row r="7">
      <c r="N7" s="66">
        <f>($B$13/5)</f>
        <v/>
      </c>
      <c r="O7" s="56">
        <f>($C$5*[1]Params!K9)</f>
        <v/>
      </c>
      <c r="P7" s="56">
        <f>(O7*N7)</f>
        <v/>
      </c>
    </row>
    <row r="8">
      <c r="N8" s="66">
        <f>($B$13/5)</f>
        <v/>
      </c>
      <c r="O8" s="56">
        <f>($C$5*[1]Params!K10)</f>
        <v/>
      </c>
      <c r="P8" s="56">
        <f>(O8*N8)</f>
        <v/>
      </c>
    </row>
    <row r="9">
      <c r="N9" s="66">
        <f>($B$13/5)</f>
        <v/>
      </c>
      <c r="O9" s="56">
        <f>($C$5*[1]Params!K11)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66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8"/>
  <sheetViews>
    <sheetView workbookViewId="0">
      <selection activeCell="R8" sqref="R8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7.163935902482066</v>
      </c>
      <c r="M3" t="inlineStr">
        <is>
          <t>Objectif :</t>
        </is>
      </c>
      <c r="N3" s="24">
        <f>(INDEX(N5:N17,MATCH(MAX(O6),O5:O17,0))/0.85)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7.1567479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9" t="n">
        <v>0</v>
      </c>
      <c r="T5" s="60">
        <f>(D6)</f>
        <v/>
      </c>
      <c r="U5">
        <f>(R5*J3)</f>
        <v/>
      </c>
    </row>
    <row r="6">
      <c r="B6" s="25" t="n">
        <v>0.07425393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24">
        <f>B5+B11</f>
        <v/>
      </c>
      <c r="S6" s="56">
        <f>(T6/R6)</f>
        <v/>
      </c>
      <c r="T6" s="56">
        <f>D5+B11*5.54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2*($B$15+$N$6)/5-$N$6</f>
        <v/>
      </c>
      <c r="O7" s="56">
        <f>($C$5*[1]Params!K9)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(-0.2134+N16)</f>
        <v/>
      </c>
      <c r="C8" s="56">
        <f>(D8/B8)</f>
        <v/>
      </c>
      <c r="D8" s="56">
        <f>(-1.27565659-D9)</f>
        <v/>
      </c>
      <c r="N8" s="24">
        <f>2*($B$15+$N$6)/5-$N$6</f>
        <v/>
      </c>
      <c r="O8" s="56">
        <f>($C$5*[1]Params!K10)</f>
        <v/>
      </c>
      <c r="P8" s="56">
        <f>(O8*N8)</f>
        <v/>
      </c>
      <c r="R8" s="24">
        <f>SUM(B8:B10)+B13+B12</f>
        <v/>
      </c>
      <c r="S8" s="56">
        <f>(T8/R8)</f>
        <v/>
      </c>
      <c r="T8" s="56">
        <f>SUM(D8:D10)+D12+D13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2*($B$15+$N$6)/5-$N$6</f>
        <v/>
      </c>
      <c r="O9" s="56">
        <f>($C$5*[1]Params!K11)</f>
        <v/>
      </c>
      <c r="P9" s="56">
        <f>(O9*N9)</f>
        <v/>
      </c>
      <c r="R9" s="24">
        <f>B11-B11</f>
        <v/>
      </c>
      <c r="S9" s="56" t="n">
        <v>0</v>
      </c>
      <c r="T9" s="57">
        <f>D11-B11*5.54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  <c r="R10" s="24" t="n"/>
      <c r="S10" s="56" t="n"/>
      <c r="T10" s="57" t="n"/>
    </row>
    <row r="11">
      <c r="B11" s="24" t="n">
        <v>-1.3731</v>
      </c>
      <c r="C11" s="56">
        <f>(D11/B11)</f>
        <v/>
      </c>
      <c r="D11" s="56">
        <f>-9.89434222</f>
        <v/>
      </c>
      <c r="N11" s="24" t="n"/>
      <c r="P11" s="56" t="n"/>
    </row>
    <row r="12">
      <c r="B12" s="24" t="n">
        <v>-1.53</v>
      </c>
      <c r="C12" s="56">
        <f>(D12/B12)</f>
        <v/>
      </c>
      <c r="D12" s="56" t="n">
        <v>-13.78562829</v>
      </c>
      <c r="N12" s="24" t="n"/>
      <c r="P12" s="56">
        <f>(SUM(P6:P9))</f>
        <v/>
      </c>
    </row>
    <row r="13">
      <c r="B13" s="24" t="n">
        <v>1.7</v>
      </c>
      <c r="C13" s="56">
        <f>(D13/B13)</f>
        <v/>
      </c>
      <c r="D13" s="56" t="n">
        <v>12.6519626</v>
      </c>
      <c r="N13" s="24" t="n"/>
      <c r="P13" s="56" t="n"/>
    </row>
    <row r="14">
      <c r="F14" t="inlineStr">
        <is>
          <t>Moy</t>
        </is>
      </c>
      <c r="G14" s="56">
        <f>(D15/B15)</f>
        <v/>
      </c>
      <c r="N14" s="24" t="n"/>
      <c r="P14" s="56" t="n"/>
      <c r="R14" s="24">
        <f>(SUM(R5:R12))</f>
        <v/>
      </c>
      <c r="T14" s="56">
        <f>(SUM(T5:T12))</f>
        <v/>
      </c>
    </row>
    <row r="15">
      <c r="B15">
        <f>(SUM(B5:B14))</f>
        <v/>
      </c>
      <c r="D15" s="56">
        <f>(SUM(D5:D14))</f>
        <v/>
      </c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N19" s="24" t="n"/>
      <c r="O19" s="56" t="n"/>
      <c r="P19" s="56" t="n"/>
    </row>
    <row r="20">
      <c r="P20" s="56" t="n"/>
    </row>
    <row r="21">
      <c r="P21" s="56" t="n"/>
    </row>
    <row r="22">
      <c r="P22" s="56" t="n"/>
    </row>
    <row r="23"/>
    <row r="24"/>
    <row r="25"/>
    <row r="26"/>
    <row r="27"/>
    <row r="28">
      <c r="G28" s="57" t="n"/>
    </row>
  </sheetData>
  <conditionalFormatting sqref="C5 C7 C10 G14 O7:O9 S6: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K31" sqref="K3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54.62568077718318</v>
      </c>
      <c r="M3" t="inlineStr">
        <is>
          <t>Objectif :</t>
        </is>
      </c>
      <c r="N3" s="24">
        <f>(INDEX(N5:N16,MATCH(MAX(O6),O5:O16,0))/0.85)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5" t="n">
        <v>0.00294758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t="n">
        <v>-0.02475</v>
      </c>
      <c r="C7" s="56">
        <f>D7/B7</f>
        <v/>
      </c>
      <c r="D7" s="56">
        <f>-1.42154421</f>
        <v/>
      </c>
      <c r="N7" s="24">
        <f>2*($B$13-$B$7)/5+$B$7</f>
        <v/>
      </c>
      <c r="O7" s="56">
        <f>($C$5*[1]Params!K9)</f>
        <v/>
      </c>
      <c r="P7" s="56">
        <f>(O7*N7)</f>
        <v/>
      </c>
      <c r="R7" s="1">
        <f>B7</f>
        <v/>
      </c>
      <c r="S7" s="56" t="n">
        <v>0</v>
      </c>
      <c r="T7" s="56">
        <f>(D7)</f>
        <v/>
      </c>
    </row>
    <row r="8">
      <c r="B8" s="24">
        <f>-0.0247</f>
        <v/>
      </c>
      <c r="C8" s="56">
        <f>D8/B8</f>
        <v/>
      </c>
      <c r="D8" s="56" t="n">
        <v>-1.70058209</v>
      </c>
      <c r="N8" s="24">
        <f>2*($B$13-$B$7)/5+$B$7</f>
        <v/>
      </c>
      <c r="O8" s="56">
        <f>($C$5*[1]Params!K10)</f>
        <v/>
      </c>
      <c r="P8" s="56">
        <f>(O8*N8)</f>
        <v/>
      </c>
      <c r="R8" s="1">
        <f>(B8)+B9</f>
        <v/>
      </c>
      <c r="S8" s="56" t="n">
        <v>0</v>
      </c>
      <c r="T8" s="56">
        <f>(D8)+D9</f>
        <v/>
      </c>
    </row>
    <row r="9">
      <c r="B9" s="24">
        <f>0.02974335</f>
        <v/>
      </c>
      <c r="C9" s="56">
        <f>D9/B9</f>
        <v/>
      </c>
      <c r="D9" s="56" t="n">
        <v>1.706456</v>
      </c>
      <c r="N9" s="24">
        <f>2*($B$13-$B$7)/5+$B$7</f>
        <v/>
      </c>
      <c r="O9" s="56">
        <f>($C$5*[1]Params!K11)</f>
        <v/>
      </c>
      <c r="P9" s="56">
        <f>(O9*N9)</f>
        <v/>
      </c>
      <c r="R9" s="1" t="n"/>
      <c r="S9" s="56" t="n"/>
      <c r="T9" s="56" t="n"/>
    </row>
    <row r="10">
      <c r="R10" s="1" t="n"/>
      <c r="S10" s="56" t="n"/>
      <c r="T10" s="56" t="n"/>
    </row>
    <row r="11">
      <c r="P11" s="56">
        <f>(SUM(P6:P9))</f>
        <v/>
      </c>
      <c r="R11" s="1" t="n"/>
      <c r="S11" s="56" t="n"/>
      <c r="T11" s="57" t="n"/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G12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0.1722945932009366</v>
      </c>
      <c r="M3" t="inlineStr">
        <is>
          <t>Objectif :</t>
        </is>
      </c>
      <c r="N3" s="66">
        <f>(INDEX(N5:N29,MATCH(MAX(O6:O8),O5:O29,0))/0.85)</f>
        <v/>
      </c>
      <c r="O3" s="83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6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76">
        <f>(D6/B6)</f>
        <v/>
      </c>
      <c r="D6" s="56" t="n">
        <v>-0.983378</v>
      </c>
      <c r="M6" t="inlineStr">
        <is>
          <t>Objectif</t>
        </is>
      </c>
      <c r="N6" s="66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66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76">
        <f>(D7/B7)</f>
        <v/>
      </c>
      <c r="D7" s="56" t="n">
        <v>-1.217268</v>
      </c>
      <c r="N7" s="66">
        <f>-B11</f>
        <v/>
      </c>
      <c r="O7" s="56">
        <f>($C$5*[1]Params!K9)</f>
        <v/>
      </c>
      <c r="P7" s="56">
        <f>-D11</f>
        <v/>
      </c>
      <c r="Q7" t="inlineStr">
        <is>
          <t>Done</t>
        </is>
      </c>
      <c r="R7" s="66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76">
        <f>(D8/B8)</f>
        <v/>
      </c>
      <c r="D8" s="56" t="n">
        <v>-1.656203</v>
      </c>
      <c r="N8" s="66">
        <f>3*($B$5+$R$7)/5-N7-N6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66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76">
        <f>(D9/B9)</f>
        <v/>
      </c>
      <c r="D9" s="56" t="n">
        <v>1.549163</v>
      </c>
      <c r="N9" s="66">
        <f>4*($R$5+$R$7)/5+B12-N7-N6</f>
        <v/>
      </c>
      <c r="O9" s="56">
        <f>($C$5*[1]Params!K11)</f>
        <v/>
      </c>
      <c r="P9" s="56">
        <f>(O9*N9)</f>
        <v/>
      </c>
      <c r="R9" s="24">
        <f>B12</f>
        <v/>
      </c>
      <c r="S9" s="56">
        <f>T9/R9</f>
        <v/>
      </c>
      <c r="T9" s="56">
        <f>D12</f>
        <v/>
      </c>
    </row>
    <row r="10">
      <c r="B10" s="19" t="n">
        <v>14.46759533</v>
      </c>
      <c r="C10" s="76">
        <f>(D10/B10)</f>
        <v/>
      </c>
      <c r="D10" s="56" t="n">
        <v>1.150414</v>
      </c>
      <c r="N10" s="66" t="n"/>
      <c r="O10" s="56" t="n"/>
      <c r="P10" s="56" t="n"/>
      <c r="R10" s="24" t="n"/>
      <c r="S10" s="56" t="n"/>
      <c r="T10" s="56" t="n"/>
    </row>
    <row r="11">
      <c r="B11" s="19" t="n">
        <v>-12.55901794</v>
      </c>
      <c r="C11" s="76">
        <f>D11/B11</f>
        <v/>
      </c>
      <c r="D11" s="56">
        <f>-1.294159</f>
        <v/>
      </c>
      <c r="N11" s="66" t="n"/>
      <c r="O11" s="56" t="n"/>
      <c r="P11" s="56" t="n"/>
      <c r="R11" s="24" t="n"/>
      <c r="S11" s="56" t="n"/>
      <c r="T11" s="56" t="n"/>
    </row>
    <row r="12">
      <c r="B12" s="19" t="n">
        <v>-15.85623679</v>
      </c>
      <c r="C12" s="76">
        <f>D12/B12</f>
        <v/>
      </c>
      <c r="D12" s="56" t="n">
        <v>-2.201892</v>
      </c>
      <c r="N12" s="66" t="n"/>
      <c r="O12" s="56" t="n"/>
      <c r="P12" s="56" t="n"/>
      <c r="R12" s="24" t="n"/>
      <c r="S12" s="56" t="n"/>
      <c r="T12" s="56" t="n"/>
    </row>
    <row r="13">
      <c r="C13" s="56" t="n"/>
      <c r="D13" s="56" t="n"/>
      <c r="F13" t="inlineStr">
        <is>
          <t>Moy</t>
        </is>
      </c>
      <c r="G13" s="56">
        <f>(D14/B14)</f>
        <v/>
      </c>
      <c r="O13" s="56" t="n"/>
      <c r="P13" s="56">
        <f>(SUM(P6:P9))</f>
        <v/>
      </c>
      <c r="R13" s="24" t="n"/>
      <c r="S13" s="56" t="n"/>
      <c r="T13" s="56" t="n"/>
    </row>
    <row r="14">
      <c r="B14" s="19">
        <f>(SUM(B5:B13))</f>
        <v/>
      </c>
      <c r="C14" s="56" t="n"/>
      <c r="D14" s="56">
        <f>(SUM(D5:D13))</f>
        <v/>
      </c>
      <c r="O14" s="56" t="n"/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</row>
    <row r="23">
      <c r="R23" s="24" t="n"/>
      <c r="S23" s="56" t="n"/>
      <c r="T23" s="56" t="n"/>
    </row>
    <row r="24">
      <c r="R24" s="24" t="n"/>
      <c r="S24" s="56" t="n"/>
      <c r="T24" s="56" t="n"/>
      <c r="V24" s="57" t="n"/>
    </row>
    <row r="26">
      <c r="S26" s="56" t="n"/>
      <c r="T26" s="56" t="n"/>
    </row>
    <row r="27">
      <c r="L27" s="57" t="n"/>
      <c r="M27" s="57" t="n"/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R33" s="24">
        <f>(SUM(R5:R31))</f>
        <v/>
      </c>
      <c r="S33" s="56" t="n"/>
      <c r="T33" s="56">
        <f>(SUM(T5:T31))</f>
        <v/>
      </c>
      <c r="V33" t="inlineStr">
        <is>
          <t>Moy</t>
        </is>
      </c>
      <c r="W33" s="56">
        <f>(T33/R33)</f>
        <v/>
      </c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  <row r="37">
      <c r="S37" s="56" t="n"/>
      <c r="T37" s="56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T6" sqref="T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19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12.1943080559003</v>
      </c>
      <c r="M3" t="inlineStr">
        <is>
          <t>Objectif :</t>
        </is>
      </c>
      <c r="N3" s="24">
        <f>(INDEX(N5:N19,MATCH(MAX(O6:O8),O5:O19,0))/0.85)</f>
        <v/>
      </c>
      <c r="O3" s="57">
        <f>(MAX(O6:O8)*0.75)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2.39028114</v>
      </c>
      <c r="C5" s="56">
        <f>(D5/B5)</f>
        <v/>
      </c>
      <c r="D5" s="56" t="n">
        <v>11.4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6">
        <f>(T5/R5)</f>
        <v/>
      </c>
      <c r="T5" s="56">
        <f>(D5)+(B7)*4.615+(B8)*4.6733+B11*4.7693</f>
        <v/>
      </c>
    </row>
    <row r="6">
      <c r="B6" s="2" t="n">
        <v>0.00229906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-0.442</v>
      </c>
      <c r="C7" s="57">
        <f>D7/B7</f>
        <v/>
      </c>
      <c r="D7" s="56" t="n">
        <v>-2.70607643</v>
      </c>
      <c r="N7" s="24">
        <f>-B8</f>
        <v/>
      </c>
      <c r="O7" s="56">
        <f>P7/N7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(D7)-B7*4.615</f>
        <v/>
      </c>
    </row>
    <row r="8">
      <c r="B8" t="n">
        <v>-0.4935</v>
      </c>
      <c r="C8" s="57">
        <f>D8/B8</f>
        <v/>
      </c>
      <c r="D8" s="56" t="n">
        <v>-4.33261604</v>
      </c>
      <c r="N8" s="24">
        <f>-B11</f>
        <v/>
      </c>
      <c r="O8" s="56">
        <f>P8/N8</f>
        <v/>
      </c>
      <c r="P8" s="56">
        <f>-D11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(D8)-B8*4.6733</f>
        <v/>
      </c>
    </row>
    <row r="9">
      <c r="B9" t="n">
        <v>-0.4678</v>
      </c>
      <c r="C9" s="57">
        <f>D9/B9</f>
        <v/>
      </c>
      <c r="D9" s="56" t="n">
        <v>-5.19978057</v>
      </c>
      <c r="N9" s="24">
        <f>B13/2</f>
        <v/>
      </c>
      <c r="O9" s="56">
        <f>($S$5*[1]Params!K11)</f>
        <v/>
      </c>
      <c r="P9" s="56">
        <f>(O9*N9)</f>
        <v/>
      </c>
      <c r="R9" s="1">
        <f>(B9)+B10</f>
        <v/>
      </c>
      <c r="S9" s="56" t="n">
        <v>0</v>
      </c>
      <c r="T9" s="56">
        <f>(D9)+D10</f>
        <v/>
      </c>
      <c r="U9" s="57" t="n"/>
    </row>
    <row r="10">
      <c r="B10" s="1" t="n">
        <v>0.52289021</v>
      </c>
      <c r="C10" s="56">
        <f>(D10/B10)</f>
        <v/>
      </c>
      <c r="D10" s="56" t="n">
        <v>4.91</v>
      </c>
      <c r="R10" s="1">
        <f>B11-B11</f>
        <v/>
      </c>
      <c r="S10" s="56" t="n">
        <v>0</v>
      </c>
      <c r="T10" s="56">
        <f>(D11)-B11*4.7693</f>
        <v/>
      </c>
    </row>
    <row r="11">
      <c r="B11" s="1" t="n">
        <v>-0.53</v>
      </c>
      <c r="C11" s="56">
        <f>(D11/B11)</f>
        <v/>
      </c>
      <c r="D11" s="56">
        <f>-5.68000015</f>
        <v/>
      </c>
      <c r="R11" s="1" t="n"/>
      <c r="S11" s="56" t="n"/>
      <c r="T11" s="56" t="n"/>
    </row>
    <row r="12">
      <c r="F12" t="inlineStr">
        <is>
          <t>Moy</t>
        </is>
      </c>
      <c r="G12" s="56">
        <f>(D13/B13)</f>
        <v/>
      </c>
      <c r="P12" s="56">
        <f>(SUM(P6:P9))</f>
        <v/>
      </c>
      <c r="R12" s="1" t="n"/>
      <c r="S12" s="56" t="n"/>
      <c r="T12" s="56" t="n"/>
    </row>
    <row r="13">
      <c r="B13">
        <f>(SUM(B5:B12))</f>
        <v/>
      </c>
      <c r="D13" s="56">
        <f>(SUM(D5:D12))</f>
        <v/>
      </c>
      <c r="R13" s="1" t="n"/>
      <c r="S13" s="56" t="n"/>
      <c r="T13" s="56" t="n"/>
    </row>
    <row r="14">
      <c r="R14" s="1" t="n"/>
      <c r="S14" s="56" t="n"/>
      <c r="T14" s="57" t="n"/>
    </row>
    <row r="15">
      <c r="P15" s="56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6">
        <f>(SUM(T5:T24))</f>
        <v/>
      </c>
    </row>
  </sheetData>
  <conditionalFormatting sqref="C5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0.778088738665029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6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($C$5*[1]Params!K8)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($C$5*[1]Params!K9)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($C$5*[1]Params!K10)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($C$5*[1]Params!K11)</f>
        <v/>
      </c>
      <c r="P9" s="56">
        <f>(O9*N9)</f>
        <v/>
      </c>
    </row>
    <row r="10">
      <c r="B10" s="66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1"/>
  <sheetViews>
    <sheetView workbookViewId="0">
      <selection activeCell="D8" sqref="D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3.076879820836028</v>
      </c>
      <c r="M3" t="inlineStr">
        <is>
          <t>Objectif :</t>
        </is>
      </c>
      <c r="N3" s="24">
        <f>(INDEX(N5:N16,MATCH(MAX(O6),O5:O16,0))/0.85)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5.94703068</v>
      </c>
      <c r="C5" s="56">
        <f>(D5/B5)</f>
        <v/>
      </c>
      <c r="D5" s="56" t="n">
        <v>12.96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0.01835889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1">
        <f>-B7</f>
        <v/>
      </c>
      <c r="O6" s="56">
        <f>P6/N6</f>
        <v/>
      </c>
      <c r="P6" s="56">
        <f>-D7</f>
        <v/>
      </c>
      <c r="Q6" t="inlineStr">
        <is>
          <t>Done</t>
        </is>
      </c>
    </row>
    <row r="7">
      <c r="B7" s="1" t="n">
        <v>-1.193</v>
      </c>
      <c r="C7" s="57">
        <f>D7/B7</f>
        <v/>
      </c>
      <c r="D7" s="56">
        <f>-3.38566736</f>
        <v/>
      </c>
      <c r="N7" s="1">
        <f>2*($B$10+$N$6)/5-$N$6</f>
        <v/>
      </c>
      <c r="O7" s="56">
        <f>($C$5*[1]Params!K9)</f>
        <v/>
      </c>
      <c r="P7" s="56">
        <f>(O7*N7)</f>
        <v/>
      </c>
    </row>
    <row r="8">
      <c r="N8" s="1">
        <f>2*($B$10+$N$6)/5-$N$6</f>
        <v/>
      </c>
      <c r="O8" s="56">
        <f>($C$5*[1]Params!K10)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2*($B$10+$N$6)/5-$N$6</f>
        <v/>
      </c>
      <c r="O9" s="56">
        <f>($C$5*[1]Params!K11)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N30" sqref="N29:O30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13.44886513860044</v>
      </c>
      <c r="M3" t="inlineStr">
        <is>
          <t>Objectif :</t>
        </is>
      </c>
      <c r="N3" s="24">
        <f>(INDEX(N5:N16,MATCH(MAX(O6:O8),O5:O16,0))/0.9)</f>
        <v/>
      </c>
      <c r="O3" s="57">
        <f>(MAX(O6:O8)*0.85)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1.36952718</v>
      </c>
      <c r="C5" s="56">
        <f>(D5/B5)</f>
        <v/>
      </c>
      <c r="D5" s="56" t="n">
        <v>9.93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6">
        <f>(T5/R5)</f>
        <v/>
      </c>
      <c r="T5" s="56">
        <f>(D5)+(B7+B8+B9)*6.9017</f>
        <v/>
      </c>
    </row>
    <row r="6">
      <c r="B6" s="2" t="n">
        <v>0.00239294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24">
        <f>-B8</f>
        <v/>
      </c>
      <c r="O7" s="56">
        <f>C8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(D7)-B7*6.9017</f>
        <v/>
      </c>
    </row>
    <row r="8">
      <c r="B8" s="1" t="n">
        <v>-0.27</v>
      </c>
      <c r="C8" s="56">
        <f>D8/B8</f>
        <v/>
      </c>
      <c r="D8" s="56" t="n">
        <v>-3.09156748</v>
      </c>
      <c r="N8" s="24">
        <f>-B9</f>
        <v/>
      </c>
      <c r="O8" s="56">
        <f>P8/N8</f>
        <v/>
      </c>
      <c r="P8" s="56">
        <f>-D9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(D8)-B8*6.9017</f>
        <v/>
      </c>
      <c r="U8" s="57" t="n"/>
    </row>
    <row r="9">
      <c r="B9" s="1" t="n">
        <v>-0.2616</v>
      </c>
      <c r="C9" s="56">
        <f>D9/B9</f>
        <v/>
      </c>
      <c r="D9" s="56">
        <f>-4.0102794</f>
        <v/>
      </c>
      <c r="N9" s="24">
        <f>4*($B$5+B6)/5-N8-N7-N6</f>
        <v/>
      </c>
      <c r="O9" s="56">
        <f>($C$5*[1]Params!K11)</f>
        <v/>
      </c>
      <c r="P9" s="56">
        <f>(O9*N9)</f>
        <v/>
      </c>
      <c r="R9" s="1">
        <f>(B9)-B9</f>
        <v/>
      </c>
      <c r="S9" s="56" t="n">
        <v>0</v>
      </c>
      <c r="T9" s="56">
        <f>(D9)-B9*6.9017</f>
        <v/>
      </c>
      <c r="U9" s="57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1" t="n"/>
      <c r="S10" s="56" t="n"/>
      <c r="T10" s="56" t="n"/>
      <c r="U10" s="57" t="n"/>
    </row>
    <row r="11">
      <c r="B11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1" t="n"/>
      <c r="S11" s="56" t="n"/>
      <c r="T11" s="57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65.71474391198367</v>
      </c>
      <c r="N3" s="24" t="n"/>
      <c r="O3" s="57" t="n"/>
      <c r="P3" s="7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0.00119832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80">
        <f>(SUM(R$5:R$8)/5)</f>
        <v/>
      </c>
      <c r="O6" s="56">
        <f>($C$7*[1]Params!K8)</f>
        <v/>
      </c>
      <c r="P6" s="56">
        <f>(O6*N6)</f>
        <v/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80">
        <f>(SUM(R$5:R$8)/5)</f>
        <v/>
      </c>
      <c r="O7" s="56">
        <f>($C$7*[1]Params!K9)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80">
        <f>(SUM(R$5:R$8)/5)</f>
        <v/>
      </c>
      <c r="O8" s="56">
        <f>($C$7*[1]Params!K10)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80">
        <f>(SUM(R$5:R$8)/5)</f>
        <v/>
      </c>
      <c r="O9" s="56">
        <f>($C$7*[1]Params!K11)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M2" sqref="M2:P3"/>
    </sheetView>
  </sheetViews>
  <sheetFormatPr baseColWidth="10" defaultColWidth="9.140625" defaultRowHeight="15"/>
  <cols>
    <col width="9.28515625" bestFit="1" customWidth="1" style="14" min="2" max="2"/>
    <col width="9.5703125" customWidth="1" style="14" min="3" max="3"/>
    <col width="10.28515625" bestFit="1" customWidth="1" style="14" min="4" max="4"/>
    <col width="12.42578125" bestFit="1" customWidth="1" style="14" min="9" max="9"/>
    <col width="9.140625" customWidth="1" style="14" min="13" max="13"/>
    <col width="11.5703125" bestFit="1" customWidth="1" style="14" min="14" max="14"/>
    <col width="11.28515625" bestFit="1" customWidth="1" style="14" min="15" max="15"/>
    <col width="9.140625" customWidth="1" style="14" min="16" max="16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0.7013639572016603</v>
      </c>
      <c r="M3" t="inlineStr">
        <is>
          <t>Objectif :</t>
        </is>
      </c>
      <c r="N3" s="67">
        <f>-B7</f>
        <v/>
      </c>
      <c r="O3" s="64" t="n">
        <v>0</v>
      </c>
      <c r="P3" s="56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(B23*J3)</f>
        <v/>
      </c>
    </row>
    <row r="5">
      <c r="B5" t="n">
        <v>3.25270461</v>
      </c>
      <c r="C5" s="56" t="n">
        <v>0</v>
      </c>
      <c r="D5" s="56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0.05645513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 :</t>
        </is>
      </c>
      <c r="N6" s="80">
        <f>B21</f>
        <v/>
      </c>
      <c r="O6" s="64">
        <f>(C21*2)</f>
        <v/>
      </c>
      <c r="P6" s="56">
        <f>(N6*O6)</f>
        <v/>
      </c>
    </row>
    <row r="7">
      <c r="B7" s="80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  <c r="N9" s="21" t="n"/>
      <c r="O9" s="64" t="n"/>
      <c r="P9" s="56" t="n"/>
    </row>
    <row r="10">
      <c r="B10" t="n">
        <v>0.31639059</v>
      </c>
      <c r="C10" s="56" t="n">
        <v>0</v>
      </c>
      <c r="D10" s="56">
        <f>(B10*C10)</f>
        <v/>
      </c>
      <c r="O10" s="64" t="n"/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>
      <c r="B16" t="n">
        <v>0.31639059</v>
      </c>
      <c r="C16" s="56" t="n">
        <v>0</v>
      </c>
      <c r="D16" s="56">
        <f>(B16*C16)</f>
        <v/>
      </c>
    </row>
    <row r="17">
      <c r="B17" t="n">
        <v>0.31639059</v>
      </c>
      <c r="C17" s="56" t="n">
        <v>0</v>
      </c>
      <c r="D17" s="56">
        <f>(B17*C17)</f>
        <v/>
      </c>
    </row>
    <row r="18">
      <c r="B18" t="n">
        <v>0.31639059</v>
      </c>
      <c r="C18" s="56" t="n">
        <v>0</v>
      </c>
      <c r="D18" s="56">
        <f>(B18*C18)</f>
        <v/>
      </c>
    </row>
    <row r="19">
      <c r="B19" t="n">
        <v>0.31639059</v>
      </c>
      <c r="C19" s="56" t="n">
        <v>0</v>
      </c>
      <c r="D19" s="56">
        <f>(B19*C19)</f>
        <v/>
      </c>
    </row>
    <row r="20">
      <c r="B20" t="n">
        <v>0.31639059</v>
      </c>
      <c r="C20" s="56" t="n">
        <v>0</v>
      </c>
      <c r="D20" s="56">
        <f>(B20*C20)</f>
        <v/>
      </c>
    </row>
    <row r="21">
      <c r="B21" s="80" t="n">
        <v>3.25</v>
      </c>
      <c r="C21" s="56">
        <f>D21/B21</f>
        <v/>
      </c>
      <c r="D21" s="56" t="n">
        <v>2.31819162</v>
      </c>
    </row>
    <row r="22"/>
    <row r="23">
      <c r="B23">
        <f>(SUM(B5:B22))</f>
        <v/>
      </c>
      <c r="D23" s="56">
        <f>(SUM(D5:D22))</f>
        <v/>
      </c>
    </row>
  </sheetData>
  <conditionalFormatting sqref="C21 O6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M2" sqref="M2:P3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5703125" bestFit="1" customWidth="1" style="14" min="14" max="14"/>
    <col width="11.28515625" bestFit="1" customWidth="1" style="14" min="15" max="15"/>
    <col width="12" bestFit="1" customWidth="1" style="14" min="18" max="18"/>
    <col width="13" bestFit="1" customWidth="1" style="14" min="19" max="19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64" t="n">
        <v>0.0001205816334441181</v>
      </c>
      <c r="M3" t="inlineStr">
        <is>
          <t>Objectif :</t>
        </is>
      </c>
      <c r="N3" s="67">
        <f>400000-B39</f>
        <v/>
      </c>
      <c r="O3" s="64">
        <f>C37/2.8</f>
        <v/>
      </c>
      <c r="P3" s="56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0.2363634506</v>
      </c>
      <c r="C5" s="64" t="n">
        <v>115.55</v>
      </c>
      <c r="D5" s="56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64" t="n">
        <v>115.55</v>
      </c>
      <c r="T5" s="56">
        <f>(R5*S5)</f>
        <v/>
      </c>
    </row>
    <row r="6">
      <c r="B6" s="66" t="n">
        <v>0.3</v>
      </c>
      <c r="C6" s="64" t="n">
        <v>91.3</v>
      </c>
      <c r="D6" s="56">
        <f>(B6*C6)</f>
        <v/>
      </c>
      <c r="M6" t="inlineStr">
        <is>
          <t>Objectif :</t>
        </is>
      </c>
      <c r="N6">
        <f>(INDEX(B5:B17,MATCH(O6/2,C5:C17,0)))</f>
        <v/>
      </c>
      <c r="O6" s="64">
        <f>(MIN(C5:C8,C14:C16)*2)</f>
        <v/>
      </c>
      <c r="P6" s="56">
        <f>(N6*O6)</f>
        <v/>
      </c>
      <c r="R6" s="66">
        <f>(B6)</f>
        <v/>
      </c>
      <c r="S6" s="64" t="n">
        <v>91.3</v>
      </c>
      <c r="T6" s="56">
        <f>(R6*S6)</f>
        <v/>
      </c>
    </row>
    <row r="7">
      <c r="B7" s="66" t="n">
        <v>2.79041387</v>
      </c>
      <c r="C7" s="64" t="n">
        <v>6.5</v>
      </c>
      <c r="D7" s="56">
        <f>(B7*C7)</f>
        <v/>
      </c>
      <c r="R7" s="66">
        <f>(B7)</f>
        <v/>
      </c>
      <c r="S7" s="64" t="n">
        <v>6.5</v>
      </c>
      <c r="T7" s="56">
        <f>(R7*S7)</f>
        <v/>
      </c>
    </row>
    <row r="8">
      <c r="B8" s="66" t="n">
        <v>722</v>
      </c>
      <c r="C8" s="64">
        <f>(D8/B8)</f>
        <v/>
      </c>
      <c r="D8" s="56" t="n">
        <v>15</v>
      </c>
      <c r="N8" t="inlineStr">
        <is>
          <t>Qty to Sell</t>
        </is>
      </c>
      <c r="O8" t="inlineStr">
        <is>
          <t>Token Price</t>
        </is>
      </c>
      <c r="P8" t="inlineStr">
        <is>
          <t>Value</t>
        </is>
      </c>
      <c r="R8" s="66">
        <f>(B8)</f>
        <v/>
      </c>
      <c r="S8" s="64">
        <f>(T8/R8)</f>
        <v/>
      </c>
      <c r="T8" s="56" t="n">
        <v>15</v>
      </c>
    </row>
    <row r="9">
      <c r="B9" s="66">
        <f>(891400)</f>
        <v/>
      </c>
      <c r="C9" s="64">
        <f>(D9/B9)</f>
        <v/>
      </c>
      <c r="D9" s="56" t="n">
        <v>10</v>
      </c>
      <c r="M9" t="inlineStr">
        <is>
          <t>Objectif :</t>
        </is>
      </c>
      <c r="N9" s="21">
        <f>B39/4</f>
        <v/>
      </c>
      <c r="O9" s="64" t="n">
        <v>0.0005</v>
      </c>
      <c r="P9" s="56">
        <f>(N9*O9)</f>
        <v/>
      </c>
      <c r="R9" s="66">
        <f>(B9)</f>
        <v/>
      </c>
      <c r="S9" s="64">
        <f>(T9/R9)</f>
        <v/>
      </c>
      <c r="T9" s="56" t="n">
        <v>10</v>
      </c>
    </row>
    <row r="10">
      <c r="B10" s="66" t="n">
        <v>-200000</v>
      </c>
      <c r="C10" s="64">
        <f>(D10/B10)</f>
        <v/>
      </c>
      <c r="D10" s="56" t="n">
        <v>-12</v>
      </c>
      <c r="O10" s="64" t="n"/>
      <c r="R10" s="66">
        <f>(B10)</f>
        <v/>
      </c>
      <c r="S10" s="64">
        <f>(T10/R10)</f>
        <v/>
      </c>
      <c r="T10" s="56" t="n">
        <v>-12</v>
      </c>
    </row>
    <row r="11">
      <c r="B11" s="66" t="n">
        <v>-43873</v>
      </c>
      <c r="C11" s="64">
        <f>(D11/B11)</f>
        <v/>
      </c>
      <c r="D11" s="56" t="n">
        <v>-10</v>
      </c>
      <c r="R11" s="66">
        <f>(B11)</f>
        <v/>
      </c>
      <c r="S11" s="64">
        <f>(T11/R11)</f>
        <v/>
      </c>
      <c r="T11" s="56" t="n">
        <v>-10</v>
      </c>
    </row>
    <row r="12">
      <c r="B12" s="66" t="n">
        <v>-20000</v>
      </c>
      <c r="C12" s="64">
        <f>(D12/B12)</f>
        <v/>
      </c>
      <c r="D12" s="56" t="n">
        <v>-10</v>
      </c>
      <c r="R12" s="66">
        <f>(B12)</f>
        <v/>
      </c>
      <c r="S12" s="64">
        <f>(T12/R12)</f>
        <v/>
      </c>
      <c r="T12" s="56" t="n">
        <v>-10</v>
      </c>
    </row>
    <row r="13">
      <c r="B13" s="66" t="n">
        <v>-66800</v>
      </c>
      <c r="C13" s="64">
        <f>(D13/B13)</f>
        <v/>
      </c>
      <c r="D13" s="56" t="n">
        <v>-33.4</v>
      </c>
      <c r="R13" s="66">
        <f>(B13+B14+B15+B16)</f>
        <v/>
      </c>
      <c r="S13" s="64">
        <f>(T13/R13)</f>
        <v/>
      </c>
      <c r="T13" s="56">
        <f>(D13+D15+D14+D16)</f>
        <v/>
      </c>
    </row>
    <row r="14">
      <c r="B14" s="66" t="n">
        <v>22223</v>
      </c>
      <c r="C14" s="64">
        <f>(D14/B14)</f>
        <v/>
      </c>
      <c r="D14" s="56" t="n">
        <v>10.00035</v>
      </c>
      <c r="R14" s="66">
        <f>(B17)</f>
        <v/>
      </c>
      <c r="S14" s="64" t="n">
        <v>0.0001</v>
      </c>
      <c r="T14" s="56">
        <f>(S14*R14)</f>
        <v/>
      </c>
    </row>
    <row r="15">
      <c r="B15" s="66" t="n">
        <v>48000</v>
      </c>
      <c r="C15" s="64">
        <f>(D15/B15)</f>
        <v/>
      </c>
      <c r="D15" s="56" t="n">
        <v>18</v>
      </c>
      <c r="R15" s="66">
        <f>(B18)</f>
        <v/>
      </c>
      <c r="S15" s="64" t="n">
        <v>0</v>
      </c>
      <c r="T15" s="56">
        <f>(R15*S15)</f>
        <v/>
      </c>
    </row>
    <row r="16">
      <c r="B16" s="66" t="n">
        <v>40000</v>
      </c>
      <c r="C16" s="64">
        <f>(D16/B16)</f>
        <v/>
      </c>
      <c r="D16" s="56" t="n">
        <v>10</v>
      </c>
      <c r="R16" s="66">
        <f>(B19)</f>
        <v/>
      </c>
      <c r="S16" s="64" t="n">
        <v>0.0001829</v>
      </c>
      <c r="T16" s="56">
        <f>(S16*R16)</f>
        <v/>
      </c>
    </row>
    <row r="17">
      <c r="B17" s="66" t="n">
        <v>-150000</v>
      </c>
      <c r="C17" s="64" t="n">
        <v>0.0001</v>
      </c>
      <c r="D17" s="56">
        <f>(C17*B17)</f>
        <v/>
      </c>
      <c r="R17" s="66">
        <f>(B20)</f>
        <v/>
      </c>
      <c r="S17" s="64" t="n">
        <v>0.0001828</v>
      </c>
      <c r="T17" s="56">
        <f>(S17*R17)</f>
        <v/>
      </c>
    </row>
    <row r="18">
      <c r="B18" s="78" t="n">
        <v>4885.00302072</v>
      </c>
      <c r="C18" s="59" t="n">
        <v>0</v>
      </c>
      <c r="D18" s="60">
        <f>(B18*C18)</f>
        <v/>
      </c>
      <c r="E18" s="56">
        <f>(B18*J3)</f>
        <v/>
      </c>
      <c r="R18" s="66">
        <f>(B21)</f>
        <v/>
      </c>
      <c r="S18" s="64">
        <f>(T18/R18)</f>
        <v/>
      </c>
      <c r="T18" s="56" t="n">
        <v>-10.875</v>
      </c>
    </row>
    <row r="19">
      <c r="B19" s="66" t="n">
        <v>-60293.19</v>
      </c>
      <c r="C19" s="64" t="n">
        <v>0.0001829</v>
      </c>
      <c r="D19" s="56">
        <f>(C19*B19)</f>
        <v/>
      </c>
      <c r="R19" s="66">
        <f>(B22)</f>
        <v/>
      </c>
      <c r="S19" s="64">
        <f>(T19/R19)</f>
        <v/>
      </c>
      <c r="T19" s="56" t="n">
        <v>-15.777</v>
      </c>
    </row>
    <row r="20">
      <c r="B20" s="66" t="n">
        <v>-41141.35</v>
      </c>
      <c r="C20" s="64" t="n">
        <v>0.0001828</v>
      </c>
      <c r="D20" s="56">
        <f>(C20*B20)</f>
        <v/>
      </c>
      <c r="R20" s="66">
        <f>(B23)</f>
        <v/>
      </c>
      <c r="S20" s="64">
        <f>(T20/R20)</f>
        <v/>
      </c>
      <c r="T20" s="56" t="n">
        <v>-12.7</v>
      </c>
    </row>
    <row r="21">
      <c r="B21" s="66" t="n">
        <v>-26969.34</v>
      </c>
      <c r="C21" s="64">
        <f>(D21/B21)</f>
        <v/>
      </c>
      <c r="D21" s="56" t="n">
        <v>-10.875</v>
      </c>
      <c r="R21" s="66">
        <f>(B24+B25+B26)</f>
        <v/>
      </c>
      <c r="S21" s="64">
        <f>(T21/R21)</f>
        <v/>
      </c>
      <c r="T21" s="56">
        <f>(D24+D25+D26)</f>
        <v/>
      </c>
    </row>
    <row r="22">
      <c r="B22" s="66" t="n">
        <v>-39131.89</v>
      </c>
      <c r="C22" s="64">
        <f>(D22/B22)</f>
        <v/>
      </c>
      <c r="D22" s="56" t="n">
        <v>-15.777</v>
      </c>
      <c r="R22" s="66">
        <f>(B27+B28)</f>
        <v/>
      </c>
      <c r="S22" s="64" t="n">
        <v>0</v>
      </c>
      <c r="T22" s="56">
        <f>(D27+D28)</f>
        <v/>
      </c>
    </row>
    <row r="23">
      <c r="B23" s="66" t="n">
        <v>-31019.52</v>
      </c>
      <c r="C23" s="64">
        <f>(D23/B23)</f>
        <v/>
      </c>
      <c r="D23" s="56" t="n">
        <v>-12.7</v>
      </c>
      <c r="R23" s="66">
        <f>(B29+B30)</f>
        <v/>
      </c>
      <c r="S23" s="64" t="n">
        <v>0</v>
      </c>
      <c r="T23" s="56">
        <f>(D29+D30)</f>
        <v/>
      </c>
    </row>
    <row r="24">
      <c r="B24" s="66" t="n">
        <v>-20035.65</v>
      </c>
      <c r="C24" s="64">
        <f>(D24/B24)</f>
        <v/>
      </c>
      <c r="D24" s="56" t="n">
        <v>-11.12</v>
      </c>
      <c r="R24" s="66">
        <f>(B31+B32)</f>
        <v/>
      </c>
      <c r="S24" s="64" t="n">
        <v>0</v>
      </c>
      <c r="T24" s="56">
        <f>(D31+D32)</f>
        <v/>
      </c>
    </row>
    <row r="25">
      <c r="B25" s="66">
        <f>(15252.99-15.25299)</f>
        <v/>
      </c>
      <c r="C25" s="64" t="n">
        <v>0.00051739</v>
      </c>
      <c r="D25" s="56">
        <f>(B25*C25)</f>
        <v/>
      </c>
      <c r="N25" s="66" t="n"/>
      <c r="R25" s="66">
        <f>(B33+B34+B35)</f>
        <v/>
      </c>
      <c r="S25" s="64" t="n">
        <v>0</v>
      </c>
      <c r="T25" s="56">
        <f>(D33+D34+D35)</f>
        <v/>
      </c>
    </row>
    <row r="26">
      <c r="B26" s="66">
        <f>(4747.01-4.74701)</f>
        <v/>
      </c>
      <c r="C26" s="64" t="n">
        <v>0.00051738</v>
      </c>
      <c r="D26" s="56">
        <f>(B26*C26)</f>
        <v/>
      </c>
      <c r="R26" s="66">
        <f>B36</f>
        <v/>
      </c>
      <c r="S26" s="64">
        <f>T26/R26</f>
        <v/>
      </c>
      <c r="T26" s="57">
        <f>D36</f>
        <v/>
      </c>
    </row>
    <row r="27">
      <c r="B27" s="66" t="n">
        <v>-40000</v>
      </c>
      <c r="C27" s="64">
        <f>(D27/B27)</f>
        <v/>
      </c>
      <c r="D27" s="56" t="n">
        <v>-12.44</v>
      </c>
      <c r="R27" s="66">
        <f>B37</f>
        <v/>
      </c>
      <c r="S27" s="64">
        <f>T27/R27</f>
        <v/>
      </c>
      <c r="T27" s="57">
        <f>D37</f>
        <v/>
      </c>
    </row>
    <row r="28">
      <c r="B28" s="66" t="n">
        <v>40000</v>
      </c>
      <c r="C28" s="64">
        <f>(D28/B28)</f>
        <v/>
      </c>
      <c r="D28" s="56" t="n">
        <v>10</v>
      </c>
    </row>
    <row r="29">
      <c r="B29" s="66" t="n">
        <v>-40000</v>
      </c>
      <c r="C29" s="64">
        <f>(D29/B29)</f>
        <v/>
      </c>
      <c r="D29" s="56" t="n">
        <v>-12.39</v>
      </c>
    </row>
    <row r="30">
      <c r="B30" s="66" t="n">
        <v>44000</v>
      </c>
      <c r="C30" s="64">
        <f>(D30/B30)</f>
        <v/>
      </c>
      <c r="D30" s="56" t="n">
        <v>10.42</v>
      </c>
    </row>
    <row r="31">
      <c r="B31" s="66" t="n">
        <v>-270017.67672339</v>
      </c>
      <c r="C31" s="64">
        <f>(D31/B31)</f>
        <v/>
      </c>
      <c r="D31" s="56" t="n">
        <v>-48.19233598</v>
      </c>
    </row>
    <row r="32">
      <c r="B32" s="66">
        <f>(272743.3*0.99)</f>
        <v/>
      </c>
      <c r="C32" s="64">
        <f>(D32/B32)</f>
        <v/>
      </c>
      <c r="D32" s="56" t="n">
        <v>34.21</v>
      </c>
      <c r="E32" s="57" t="n"/>
    </row>
    <row r="33">
      <c r="B33" s="66" t="n">
        <v>-33998.23</v>
      </c>
      <c r="C33" s="64">
        <f>(D33/B33)</f>
        <v/>
      </c>
      <c r="D33" s="56" t="n">
        <v>-6.45</v>
      </c>
    </row>
    <row r="34">
      <c r="B34" s="66" t="n">
        <v>-20001.77</v>
      </c>
      <c r="C34" s="64">
        <f>(D34/B34)</f>
        <v/>
      </c>
      <c r="D34" s="56" t="n">
        <v>-3.795</v>
      </c>
    </row>
    <row r="35">
      <c r="B35" s="66">
        <f>(62154.32-62.15432)</f>
        <v/>
      </c>
      <c r="C35" s="64">
        <f>(D35/B35)</f>
        <v/>
      </c>
      <c r="D35" s="56" t="n">
        <v>10.1</v>
      </c>
      <c r="E35" s="56" t="n"/>
    </row>
    <row r="36">
      <c r="B36" s="66" t="n">
        <v>-62000</v>
      </c>
      <c r="C36" s="64">
        <f>(D36/B36)</f>
        <v/>
      </c>
      <c r="D36" s="56" t="n">
        <v>-16.02484919</v>
      </c>
      <c r="E36" s="56">
        <f>B36*J3</f>
        <v/>
      </c>
    </row>
    <row r="37">
      <c r="B37" s="66" t="n">
        <v>-150000</v>
      </c>
      <c r="C37" s="64">
        <f>(D37/B37)</f>
        <v/>
      </c>
      <c r="D37" s="56" t="n">
        <v>-38.50217554</v>
      </c>
      <c r="E37" s="56">
        <f>B37*J3</f>
        <v/>
      </c>
    </row>
    <row r="38"/>
    <row r="39">
      <c r="B39">
        <f>(SUM(B5:B38))</f>
        <v/>
      </c>
      <c r="D39" s="56">
        <f>(SUM(D5:D38))</f>
        <v/>
      </c>
      <c r="F39" t="inlineStr">
        <is>
          <t>Moy</t>
        </is>
      </c>
      <c r="G39" s="64">
        <f>(D39/B39)</f>
        <v/>
      </c>
      <c r="R39">
        <f>(SUM(R5:R38))</f>
        <v/>
      </c>
      <c r="T39" s="56">
        <f>(SUM(T5:T38))</f>
        <v/>
      </c>
    </row>
  </sheetData>
  <conditionalFormatting sqref="C5:C9 C14:C16 C25:C26 C28 C30 C32 C35 G39 O6 O9 S5:S9 S13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9" sqref="R9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0.8286189979396309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0" t="n">
        <v>0.32180391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19">
        <f>($B$7+$R$9+$R$6)/5</f>
        <v/>
      </c>
      <c r="O6" s="56">
        <f>($S$7*[1]Params!K8)</f>
        <v/>
      </c>
      <c r="P6" s="56">
        <f>(O6*N6)</f>
        <v/>
      </c>
      <c r="R6" s="78">
        <f>(B6)</f>
        <v/>
      </c>
      <c r="S6" s="59" t="n">
        <v>0</v>
      </c>
      <c r="T6" s="60">
        <f>(D6)</f>
        <v/>
      </c>
      <c r="U6" s="56">
        <f>(R6*J3)</f>
        <v/>
      </c>
    </row>
    <row r="7">
      <c r="B7" s="19" t="n">
        <v>43.74684495</v>
      </c>
      <c r="C7" s="56">
        <f>(D7/B7)</f>
        <v/>
      </c>
      <c r="D7" s="56" t="n">
        <v>40.3</v>
      </c>
      <c r="E7" t="inlineStr">
        <is>
          <t>DCA2</t>
        </is>
      </c>
      <c r="N7" s="19">
        <f>($B$7+$R$9+$R$6)/5</f>
        <v/>
      </c>
      <c r="O7" s="56">
        <f>($S$7*[1]Params!K9)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($B$7+$R$9+$R$6)/5</f>
        <v/>
      </c>
      <c r="O8" s="56">
        <f>($S$7*[1]Params!K10)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($B$7+$R$9+$R$6)/5</f>
        <v/>
      </c>
      <c r="O9" s="56">
        <f>($C$7*[1]Params!K11)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($C$5*[1]Params!K8)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($C$5*[1]Params!K9)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($C$5*[1]Params!K10)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($C$5*[1]Params!K11)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30"/>
    <col width="9.140625" customWidth="1" style="14" min="231" max="16384"/>
  </cols>
  <sheetData>
    <row r="1"/>
    <row r="2"/>
    <row r="3">
      <c r="I3" t="inlineStr">
        <is>
          <t>Actual Price :</t>
        </is>
      </c>
      <c r="J3" s="76" t="n">
        <v>0.02447096387596446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6" t="n">
        <v>64.74873341</v>
      </c>
      <c r="C5" s="76">
        <f>(D5/B5)</f>
        <v/>
      </c>
      <c r="D5" s="56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0.05599033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($B$10/5)</f>
        <v/>
      </c>
      <c r="O6" s="76">
        <f>($C$5*[1]Params!K8)</f>
        <v/>
      </c>
      <c r="P6" s="56">
        <f>(O6*N6)</f>
        <v/>
      </c>
    </row>
    <row r="7">
      <c r="B7" s="66" t="n"/>
      <c r="C7" s="56" t="n"/>
      <c r="D7" s="58" t="n"/>
      <c r="E7" s="56" t="n"/>
      <c r="N7" s="66">
        <f>($B$10/5)</f>
        <v/>
      </c>
      <c r="O7" s="76">
        <f>($C$5*[1]Params!K9)</f>
        <v/>
      </c>
      <c r="P7" s="56">
        <f>(O7*N7)</f>
        <v/>
      </c>
    </row>
    <row r="8">
      <c r="N8" s="66">
        <f>($B$10/5)</f>
        <v/>
      </c>
      <c r="O8" s="76">
        <f>($C$5*[1]Params!K10)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66">
        <f>($B$10/5)</f>
        <v/>
      </c>
      <c r="O9" s="76">
        <f>($C$5*[1]Params!K11)</f>
        <v/>
      </c>
      <c r="P9" s="56">
        <f>(O9*N9)</f>
        <v/>
      </c>
    </row>
    <row r="10">
      <c r="B10" s="66">
        <f>(SUM(B5:B9))</f>
        <v/>
      </c>
      <c r="D10" s="56">
        <f>(SUM(D5:D9))</f>
        <v/>
      </c>
    </row>
    <row r="11">
      <c r="P11" s="56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24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30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1.14074383144345</v>
      </c>
      <c r="M3" t="inlineStr">
        <is>
          <t>Objectif :</t>
        </is>
      </c>
      <c r="N3" s="24">
        <f>(INDEX(N5:N33,MATCH(MAX(O6:O7),O5:O33,0))/0.85)</f>
        <v/>
      </c>
      <c r="O3" s="57">
        <f>(MAX(O6:O7)*0.75)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52.2477</v>
      </c>
      <c r="C5" s="56">
        <f>(D5/B5)</f>
        <v/>
      </c>
      <c r="D5" s="56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(T5/R5)</f>
        <v/>
      </c>
      <c r="T5" s="56">
        <f>(D5)</f>
        <v/>
      </c>
    </row>
    <row r="6">
      <c r="B6" s="78" t="n">
        <v>0.33884455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-B8</f>
        <v/>
      </c>
      <c r="O6" s="56">
        <f>($C$5*[1]Params!K8)</f>
        <v/>
      </c>
      <c r="P6" s="56">
        <f>-D8</f>
        <v/>
      </c>
      <c r="Q6" t="inlineStr">
        <is>
          <t>Done</t>
        </is>
      </c>
      <c r="R6" s="78" t="n">
        <v>0.33622555</v>
      </c>
      <c r="S6" s="59" t="n">
        <v>0</v>
      </c>
      <c r="T6" s="60">
        <f>(R6*S6)</f>
        <v/>
      </c>
      <c r="U6" s="56">
        <f>(E6)</f>
        <v/>
      </c>
    </row>
    <row r="7">
      <c r="B7" s="66" t="n">
        <v>2.381</v>
      </c>
      <c r="C7" s="56" t="n">
        <v>0</v>
      </c>
      <c r="D7" s="58">
        <f>(B7*C7)</f>
        <v/>
      </c>
      <c r="E7" s="56">
        <f>(B7*J3)</f>
        <v/>
      </c>
      <c r="N7" s="66">
        <f>-B9</f>
        <v/>
      </c>
      <c r="O7" s="56">
        <f>P7/N7</f>
        <v/>
      </c>
      <c r="P7" s="56">
        <f>-D9</f>
        <v/>
      </c>
      <c r="Q7" t="inlineStr">
        <is>
          <t>Done</t>
        </is>
      </c>
      <c r="R7" s="66">
        <f>(B7)</f>
        <v/>
      </c>
      <c r="S7" s="56" t="n">
        <v>0</v>
      </c>
      <c r="T7" s="58">
        <f>(D7)</f>
        <v/>
      </c>
    </row>
    <row r="8">
      <c r="B8" s="66" t="n">
        <v>-10.99</v>
      </c>
      <c r="C8" s="57">
        <f>D8/B8</f>
        <v/>
      </c>
      <c r="D8" s="56">
        <f>-12.41601718</f>
        <v/>
      </c>
      <c r="N8" s="66">
        <f>3*($B$13+$N$7+$N$6)/5-N7-N6</f>
        <v/>
      </c>
      <c r="O8" s="56">
        <f>($C$5*[1]Params!K10)</f>
        <v/>
      </c>
      <c r="P8" s="56">
        <f>N8*O8</f>
        <v/>
      </c>
      <c r="R8" s="66">
        <f>B8</f>
        <v/>
      </c>
      <c r="S8" s="56">
        <f>T8/R8</f>
        <v/>
      </c>
      <c r="T8" s="56">
        <f>D8</f>
        <v/>
      </c>
      <c r="V8" s="57" t="n"/>
    </row>
    <row r="9">
      <c r="B9" s="66" t="n">
        <v>-10.99</v>
      </c>
      <c r="C9" s="57">
        <f>D9/B9</f>
        <v/>
      </c>
      <c r="D9" s="56" t="n">
        <v>-13.55613194</v>
      </c>
      <c r="N9" s="66">
        <f>($B$13+$N$7+$N$6)/5</f>
        <v/>
      </c>
      <c r="O9" s="56">
        <f>($C$5*[1]Params!K11)</f>
        <v/>
      </c>
      <c r="P9" s="56">
        <f>(O9*N9)</f>
        <v/>
      </c>
      <c r="R9" s="66">
        <f>B9</f>
        <v/>
      </c>
      <c r="S9" s="56">
        <f>T9/R9</f>
        <v/>
      </c>
      <c r="T9" s="56">
        <f>D9</f>
        <v/>
      </c>
      <c r="V9" s="57" t="n"/>
    </row>
    <row r="10">
      <c r="B10" s="66" t="n">
        <v>-11</v>
      </c>
      <c r="C10" s="57">
        <f>D10/B10</f>
        <v/>
      </c>
      <c r="D10" s="56">
        <f>-18.46116585</f>
        <v/>
      </c>
      <c r="R10" s="66">
        <f>B10+B11</f>
        <v/>
      </c>
      <c r="S10" s="56" t="n">
        <v>0</v>
      </c>
      <c r="T10" s="56">
        <f>D10+D11</f>
        <v/>
      </c>
      <c r="V10" s="57" t="n"/>
    </row>
    <row r="11">
      <c r="B11" s="66" t="n">
        <v>13</v>
      </c>
      <c r="C11" s="56">
        <f>(D11/B11)</f>
        <v/>
      </c>
      <c r="D11" s="56" t="n">
        <v>16.10266887</v>
      </c>
      <c r="F11" t="inlineStr">
        <is>
          <t>Moy</t>
        </is>
      </c>
      <c r="G11" s="56">
        <f>(D13/B13)</f>
        <v/>
      </c>
      <c r="P11" s="56">
        <f>(SUM(P6:P9))</f>
        <v/>
      </c>
      <c r="R11" s="1" t="n"/>
      <c r="S11" s="56" t="n"/>
      <c r="T11" s="56" t="n"/>
      <c r="V11" s="57" t="n"/>
    </row>
    <row r="12">
      <c r="G12" s="56" t="n"/>
      <c r="P12" s="56" t="n"/>
      <c r="R12" s="1" t="n"/>
      <c r="S12" s="56" t="n"/>
      <c r="T12" s="56" t="n"/>
      <c r="V12" s="57" t="n"/>
    </row>
    <row r="13">
      <c r="B13" s="66">
        <f>(SUM(B5:B11))</f>
        <v/>
      </c>
      <c r="D13" s="56">
        <f>(SUM(D5:D11))</f>
        <v/>
      </c>
      <c r="R13" s="1" t="n"/>
      <c r="S13" s="56" t="n"/>
      <c r="T13" s="56" t="n"/>
    </row>
    <row r="14">
      <c r="R14" s="1" t="n"/>
      <c r="S14" s="56" t="n"/>
      <c r="T14" s="57" t="n"/>
    </row>
    <row r="15">
      <c r="R15" s="1" t="n"/>
      <c r="S15" s="56" t="n"/>
      <c r="T15" s="56" t="n"/>
    </row>
    <row r="16">
      <c r="R16" s="1" t="n"/>
      <c r="S16" s="56" t="n"/>
      <c r="T16" s="56" t="n"/>
    </row>
    <row r="17">
      <c r="S17" s="56" t="n"/>
      <c r="T17" s="56" t="n"/>
    </row>
    <row r="18">
      <c r="S18" s="56" t="n"/>
      <c r="T18" s="56" t="n"/>
    </row>
    <row r="19"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S22" s="56" t="n"/>
      <c r="T22" s="56" t="n"/>
    </row>
    <row r="23">
      <c r="S23" s="56" t="n"/>
      <c r="T23" s="56" t="n"/>
    </row>
    <row r="24">
      <c r="S24" s="56" t="n"/>
      <c r="T24" s="56" t="n"/>
    </row>
    <row r="25">
      <c r="J25" s="24" t="n"/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R30" s="1">
        <f>(SUM(R5:R29))</f>
        <v/>
      </c>
      <c r="S30" s="56" t="n"/>
      <c r="T30" s="56">
        <f>(SUM(T5:T29))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11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M1" sqref="M1: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3.48202351732147</v>
      </c>
      <c r="M3" t="inlineStr">
        <is>
          <t>Objectif :</t>
        </is>
      </c>
      <c r="N3" s="24">
        <f>(INDEX(N5:N31,MATCH(MAX(O6:O8,O14:O16),O5:O31,0))/0.85)</f>
        <v/>
      </c>
      <c r="O3" s="57">
        <f>(MAX(O6:O8,O14:O16)*0.75)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(B25*J3)</f>
        <v/>
      </c>
      <c r="K4" s="4">
        <f>(J4/D25-1)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22.61366053</v>
      </c>
      <c r="C6" s="56">
        <f>(D6/B6)</f>
        <v/>
      </c>
      <c r="D6" s="56" t="n">
        <v>40.3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6">
        <f>P6/N6</f>
        <v/>
      </c>
      <c r="P6" s="56">
        <f>-D18</f>
        <v/>
      </c>
      <c r="Q6" t="inlineStr">
        <is>
          <t>Done</t>
        </is>
      </c>
      <c r="R6" s="1">
        <f>B6+B19+B21+B23</f>
        <v/>
      </c>
      <c r="S6" s="56">
        <f>(T6/R6)</f>
        <v/>
      </c>
      <c r="T6" s="56">
        <f>D6+B19*1.74+B21*1.7718+B23*1.7718</f>
        <v/>
      </c>
      <c r="U6" s="56">
        <f>(E6)</f>
        <v/>
      </c>
    </row>
    <row r="7">
      <c r="B7" s="2" t="n">
        <v>0.1010012</v>
      </c>
      <c r="C7" s="59" t="n">
        <v>0</v>
      </c>
      <c r="D7" s="60" t="n">
        <v>0</v>
      </c>
      <c r="E7" s="57">
        <f>B7*J3</f>
        <v/>
      </c>
      <c r="N7" s="1">
        <f>(($B$5+$R$9)/5)</f>
        <v/>
      </c>
      <c r="O7" s="56">
        <f>($C$5*[1]Params!K9)</f>
        <v/>
      </c>
      <c r="P7" s="56">
        <f>(O7*N7)</f>
        <v/>
      </c>
      <c r="Q7" t="inlineStr">
        <is>
          <t>Done</t>
        </is>
      </c>
      <c r="R7" s="2">
        <f>(B7)</f>
        <v/>
      </c>
      <c r="S7" s="59" t="n">
        <v>0</v>
      </c>
      <c r="T7" s="60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-B22</f>
        <v/>
      </c>
      <c r="O8" s="56">
        <f>P8/N8</f>
        <v/>
      </c>
      <c r="P8" s="56">
        <f>-D22</f>
        <v/>
      </c>
      <c r="Q8" t="inlineStr">
        <is>
          <t>Done</t>
        </is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DCA2*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($C$5*[1]Params!K11)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>
        <f>B18</f>
        <v/>
      </c>
      <c r="S10" s="56">
        <f>T10/R10</f>
        <v/>
      </c>
      <c r="T10" s="56">
        <f>D18</f>
        <v/>
      </c>
      <c r="U10" t="inlineStr">
        <is>
          <t>Learn 1/5</t>
        </is>
      </c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  <c r="R11" s="1">
        <f>B19-B19</f>
        <v/>
      </c>
      <c r="S11" s="56" t="n">
        <v>0</v>
      </c>
      <c r="T11" s="57">
        <f>D19-B19*1.74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R12" s="1">
        <f>B20</f>
        <v/>
      </c>
      <c r="S12" s="56">
        <f>T12/R12</f>
        <v/>
      </c>
      <c r="T12" s="56">
        <f>D20</f>
        <v/>
      </c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6" t="n">
        <v>0</v>
      </c>
      <c r="T13" s="56">
        <f>D21-B21*1.7718</f>
        <v/>
      </c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-B19</f>
        <v/>
      </c>
      <c r="O14" s="56">
        <f>P14/N14</f>
        <v/>
      </c>
      <c r="P14" s="56">
        <f>-D19</f>
        <v/>
      </c>
      <c r="Q14" t="inlineStr">
        <is>
          <t>Done</t>
        </is>
      </c>
      <c r="R14" s="1">
        <f>B22</f>
        <v/>
      </c>
      <c r="S14" s="56">
        <f>T14/R14</f>
        <v/>
      </c>
      <c r="T14" s="56">
        <f>D22</f>
        <v/>
      </c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-B21</f>
        <v/>
      </c>
      <c r="O15" s="56">
        <f>P15/N15</f>
        <v/>
      </c>
      <c r="P15" s="56">
        <f>-D21</f>
        <v/>
      </c>
      <c r="Q15" t="inlineStr">
        <is>
          <t>Done</t>
        </is>
      </c>
      <c r="R15" s="1">
        <f>B23-B23</f>
        <v/>
      </c>
      <c r="S15" s="56" t="n">
        <v>0</v>
      </c>
      <c r="T15" s="56">
        <f>D23-B23*1.7718</f>
        <v/>
      </c>
    </row>
    <row r="16">
      <c r="B16" s="1" t="n">
        <v>0.419286856535433</v>
      </c>
      <c r="C16" s="56">
        <f>(D16/B16)</f>
        <v/>
      </c>
      <c r="D16" s="56" t="n">
        <v>0.709744</v>
      </c>
      <c r="N16" s="1">
        <f>-B23</f>
        <v/>
      </c>
      <c r="O16" s="56">
        <f>P16/N16</f>
        <v/>
      </c>
      <c r="P16" s="56">
        <f>-D23</f>
        <v/>
      </c>
      <c r="Q16" t="inlineStr">
        <is>
          <t>Done</t>
        </is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4*(($B$6+$R$8+$R$7)/5)-N15-N14-N16</f>
        <v/>
      </c>
      <c r="O17" s="56">
        <f>($S$6*[1]Params!K11)</f>
        <v/>
      </c>
      <c r="P17" s="56">
        <f>(O17*N17)</f>
        <v/>
      </c>
      <c r="S17" s="56" t="n"/>
      <c r="T17" s="56" t="n"/>
    </row>
    <row r="18">
      <c r="B18" s="1" t="n">
        <v>-0.377697841726618</v>
      </c>
      <c r="C18" s="56">
        <f>(D18/B18)</f>
        <v/>
      </c>
      <c r="D18" s="56" t="n">
        <v>-0.82209</v>
      </c>
      <c r="E18">
        <f>U10</f>
        <v/>
      </c>
      <c r="N18" s="1" t="n"/>
      <c r="O18" s="56" t="n"/>
      <c r="P18" s="56" t="n"/>
      <c r="S18" s="56" t="n"/>
      <c r="T18" s="56" t="n"/>
    </row>
    <row r="19">
      <c r="B19" s="1" t="n">
        <v>-4.3</v>
      </c>
      <c r="C19" s="56">
        <f>(D19/B19)</f>
        <v/>
      </c>
      <c r="D19" s="56" t="n">
        <v>-10.15814138</v>
      </c>
      <c r="O19" s="56" t="n"/>
      <c r="P19" s="56">
        <f>(SUM(P14:P17))</f>
        <v/>
      </c>
      <c r="S19" s="56" t="n"/>
      <c r="T19" s="56" t="n"/>
    </row>
    <row r="20">
      <c r="B20" s="1" t="n">
        <v>-0.37687523</v>
      </c>
      <c r="C20" s="56">
        <f>(D20/B20)</f>
        <v/>
      </c>
      <c r="D20" s="56">
        <f>-1.008661</f>
        <v/>
      </c>
      <c r="O20" s="56" t="n"/>
      <c r="P20" s="56" t="n"/>
      <c r="S20" s="56" t="n"/>
      <c r="T20" s="56" t="n"/>
    </row>
    <row r="21">
      <c r="B21" s="1" t="n">
        <v>-4.53</v>
      </c>
      <c r="C21" s="56">
        <f>D21/B21</f>
        <v/>
      </c>
      <c r="D21" s="56" t="n">
        <v>-13.0025235</v>
      </c>
      <c r="O21" s="56" t="n"/>
      <c r="P21" s="56" t="n"/>
      <c r="S21" s="56" t="n"/>
      <c r="T21" s="56" t="n"/>
    </row>
    <row r="22">
      <c r="B22" s="1" t="n">
        <v>-0.37933818</v>
      </c>
      <c r="C22" s="56">
        <f>D22/B22</f>
        <v/>
      </c>
      <c r="D22" s="56" t="n">
        <v>-1.381056</v>
      </c>
      <c r="O22" s="56" t="n"/>
      <c r="P22" s="56" t="n"/>
      <c r="S22" s="56" t="n"/>
      <c r="T22" s="56" t="n"/>
    </row>
    <row r="23">
      <c r="B23" s="1" t="n">
        <v>-4.82</v>
      </c>
      <c r="C23" s="56">
        <f>D23/B23</f>
        <v/>
      </c>
      <c r="D23" s="56">
        <f>-18.93992355</f>
        <v/>
      </c>
      <c r="O23" s="56" t="n"/>
      <c r="P23" s="56" t="n"/>
      <c r="S23" s="56" t="n"/>
      <c r="T23" s="56" t="n"/>
    </row>
    <row r="24">
      <c r="C24" s="56" t="n"/>
      <c r="D24" s="56" t="n"/>
      <c r="F24" t="inlineStr">
        <is>
          <t>Moy</t>
        </is>
      </c>
      <c r="G24" s="56">
        <f>(D25/B25)</f>
        <v/>
      </c>
      <c r="S24" s="56" t="n"/>
      <c r="T24" s="56" t="n"/>
    </row>
    <row r="25">
      <c r="B25" s="1">
        <f>(SUM(B5:B24))</f>
        <v/>
      </c>
      <c r="C25" s="56" t="n"/>
      <c r="D25" s="56">
        <f>(SUM(D5:D24))</f>
        <v/>
      </c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R28" s="1">
        <f>(SUM(R5:R27))</f>
        <v/>
      </c>
      <c r="S28" s="56" t="n"/>
      <c r="T28" s="56">
        <f>(SUM(T5:T27))</f>
        <v/>
      </c>
    </row>
  </sheetData>
  <conditionalFormatting sqref="C5:C6 C12:C14 C16:C17 O9 O17 S5:S6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2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N9" sqref="N9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51"/>
    <col width="9.140625" customWidth="1" style="14" min="252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0.6836128352705568</v>
      </c>
      <c r="M3" t="inlineStr">
        <is>
          <t>Objectif :</t>
        </is>
      </c>
      <c r="N3" s="66">
        <f>(INDEX(N5:N22,MATCH(MAX(O6:O8),O5:O22,0))/0.85)</f>
        <v/>
      </c>
      <c r="O3" s="57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9.409654700000001</v>
      </c>
      <c r="C5" s="56">
        <f>(D5/B5)</f>
        <v/>
      </c>
      <c r="D5" s="56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(T5/R5)</f>
        <v/>
      </c>
      <c r="T5" s="56">
        <f>D5</f>
        <v/>
      </c>
    </row>
    <row r="6">
      <c r="B6" s="78" t="n">
        <v>0.07533094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66">
        <f>-B7/2</f>
        <v/>
      </c>
      <c r="O6" s="56" t="n">
        <v>0.3</v>
      </c>
      <c r="P6" s="56">
        <f>(O6*N6)</f>
        <v/>
      </c>
      <c r="Q6" s="57" t="inlineStr">
        <is>
          <t>Done</t>
        </is>
      </c>
      <c r="R6" s="78">
        <f>(B6)</f>
        <v/>
      </c>
      <c r="S6" s="59" t="n">
        <v>0</v>
      </c>
      <c r="T6" s="59">
        <f>(D6)</f>
        <v/>
      </c>
      <c r="U6" s="56">
        <f>(E6)</f>
        <v/>
      </c>
    </row>
    <row r="7">
      <c r="B7" s="66" t="n">
        <v>-3.793</v>
      </c>
      <c r="C7" s="56">
        <f>D7/B7</f>
        <v/>
      </c>
      <c r="D7" s="56">
        <f>-1.29461908</f>
        <v/>
      </c>
      <c r="N7" s="66">
        <f>-B7/2</f>
        <v/>
      </c>
      <c r="O7" s="56" t="n">
        <v>0.37</v>
      </c>
      <c r="P7" s="56">
        <f>(O7*N7)</f>
        <v/>
      </c>
      <c r="Q7" s="57" t="inlineStr">
        <is>
          <t>Done</t>
        </is>
      </c>
      <c r="R7" s="66" t="n"/>
      <c r="S7" s="56" t="n"/>
      <c r="T7" s="56" t="n"/>
      <c r="U7" s="57" t="n"/>
    </row>
    <row r="8">
      <c r="B8" s="66" t="n">
        <v>-1.89</v>
      </c>
      <c r="C8" s="56">
        <f>D8/B8</f>
        <v/>
      </c>
      <c r="D8" s="56" t="n">
        <v>-1.04446569</v>
      </c>
      <c r="N8" s="66">
        <f>-B8</f>
        <v/>
      </c>
      <c r="O8" s="56">
        <f>P8/N8</f>
        <v/>
      </c>
      <c r="P8" s="56">
        <f>-D8</f>
        <v/>
      </c>
      <c r="Q8" s="57" t="inlineStr">
        <is>
          <t>Done</t>
        </is>
      </c>
      <c r="R8" s="66" t="n"/>
      <c r="S8" s="56" t="n"/>
      <c r="T8" s="56" t="n"/>
    </row>
    <row r="9">
      <c r="B9" s="66" t="n"/>
      <c r="C9" s="56" t="n"/>
      <c r="D9" s="56" t="n"/>
      <c r="N9" s="66">
        <f>4*($B$14-B7-B8)/5+B7+B8</f>
        <v/>
      </c>
      <c r="O9" s="56">
        <f>($C$5*[1]Params!K11)</f>
        <v/>
      </c>
      <c r="P9" s="56">
        <f>(O9*N9)</f>
        <v/>
      </c>
      <c r="Q9" s="57" t="n"/>
    </row>
    <row r="10">
      <c r="B10" s="66" t="n"/>
      <c r="C10" s="56" t="n"/>
      <c r="D10" s="56" t="n"/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6">
        <f>(SUM(B5:B13))</f>
        <v/>
      </c>
      <c r="D14" s="56">
        <f>(SUM(D5:D13))</f>
        <v/>
      </c>
    </row>
    <row r="15"/>
    <row r="16"/>
    <row r="17">
      <c r="N17" s="66" t="n"/>
      <c r="R17" s="66">
        <f>(SUM(R5:R16))</f>
        <v/>
      </c>
      <c r="T17" s="56">
        <f>(SUM(T5:T16))</f>
        <v/>
      </c>
    </row>
    <row r="18"/>
    <row r="19"/>
    <row r="20">
      <c r="K20" s="57" t="n"/>
    </row>
    <row r="21"/>
    <row r="22"/>
    <row r="23"/>
    <row r="24"/>
    <row r="25"/>
    <row r="26">
      <c r="O26" s="84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tabSelected="1" workbookViewId="0">
      <selection activeCell="Q16" sqref="Q16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5" t="n">
        <v>9.60644618782718e-06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85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3" t="n">
        <v>260.03</v>
      </c>
      <c r="C6" s="59" t="n">
        <v>0</v>
      </c>
      <c r="D6" s="60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85">
        <f>($C$5*[1]Params!K8)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85">
        <f>($C$5*[1]Params!K9)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85">
        <f>($C$5*[1]Params!K10)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85">
        <f>($C$5*[1]Params!K11)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J3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topLeftCell="A4" workbookViewId="0">
      <selection activeCell="W41" sqref="W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9" t="n">
        <v>0.004455105650232677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7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79">
        <f>($C$5*[1]Params!K8)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76">
        <f>($C$5*[1]Params!K9)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76">
        <f>($C$5*[1]Params!K10)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76">
        <f>($C$5*[1]Params!K11)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50"/>
  <sheetViews>
    <sheetView workbookViewId="0">
      <selection activeCell="O3" sqref="O3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94.13891944041232</v>
      </c>
      <c r="M3" t="inlineStr">
        <is>
          <t>Objectif :</t>
        </is>
      </c>
      <c r="N3" s="24">
        <f>(INDEX(N5:N26,MATCH(MAX(O6:O9,O23:O25,O14:O17),O5:O26,0))/0.85)</f>
        <v/>
      </c>
      <c r="O3" s="57">
        <f>(MAX(O14:O17,O23:O25,O6:O9)*0.75)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(B46*J3)</f>
        <v/>
      </c>
      <c r="K4" s="4">
        <f>(J4/D46-1)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-B36</f>
        <v/>
      </c>
      <c r="O7" s="56">
        <f>P7/N7</f>
        <v/>
      </c>
      <c r="P7" s="56">
        <f>-D36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($C$16*[1]Params!K11)</f>
        <v/>
      </c>
      <c r="P9" s="56">
        <f>(O9*N9)</f>
        <v/>
      </c>
      <c r="Q9" t="inlineStr">
        <is>
          <t>Done</t>
        </is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(B17+B21+B37-N16-N17)</f>
        <v/>
      </c>
      <c r="S13" s="56">
        <f>(T13/R13)</f>
        <v/>
      </c>
      <c r="T13" s="56">
        <f>(D17+11.97*B21+B37*19.42078-N16*19.42078-N17*20.2879)</f>
        <v/>
      </c>
      <c r="U13" t="inlineStr">
        <is>
          <t>DCA1</t>
        </is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I14" s="24" t="n"/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5">
        <f>(B18)</f>
        <v/>
      </c>
      <c r="S14" s="59">
        <f>(C18)</f>
        <v/>
      </c>
      <c r="T14" s="60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24">
        <f>B19+B22+B39-N25</f>
        <v/>
      </c>
      <c r="S15" s="56">
        <f>(T15/R15)</f>
        <v/>
      </c>
      <c r="T15" s="56">
        <f>(D19+12.6*B22+20.2393*B39-20.2393*N25)</f>
        <v/>
      </c>
      <c r="U15" t="inlineStr">
        <is>
          <t>DCA2</t>
        </is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-B40-N25</f>
        <v/>
      </c>
      <c r="O16" s="56">
        <f>C40</f>
        <v/>
      </c>
      <c r="P16" s="56">
        <f>(O16*N16)</f>
        <v/>
      </c>
      <c r="Q16" t="inlineStr">
        <is>
          <t>Done</t>
        </is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6.0534095</v>
      </c>
      <c r="C17" s="56">
        <f>(D17/B17)</f>
        <v/>
      </c>
      <c r="D17" s="56" t="n">
        <v>123.54</v>
      </c>
      <c r="E17" t="inlineStr">
        <is>
          <t>DCA1</t>
        </is>
      </c>
      <c r="N17" s="24">
        <f>-B42</f>
        <v/>
      </c>
      <c r="O17" s="56">
        <f>P17/N17</f>
        <v/>
      </c>
      <c r="P17" s="56">
        <f>-D42</f>
        <v/>
      </c>
      <c r="Q17" t="inlineStr">
        <is>
          <t>Done</t>
        </is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0.0633819</v>
      </c>
      <c r="C18" s="59" t="n">
        <v>0</v>
      </c>
      <c r="D18" s="60" t="n">
        <v>0</v>
      </c>
      <c r="E18" s="57">
        <f>B18*J3</f>
        <v/>
      </c>
      <c r="N18" s="24" t="n"/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1.87547299</v>
      </c>
      <c r="C19" s="56">
        <f>(D19/B19)</f>
        <v/>
      </c>
      <c r="D19" s="56" t="n">
        <v>40.3</v>
      </c>
      <c r="E19" t="inlineStr">
        <is>
          <t>DCA2</t>
        </is>
      </c>
      <c r="O19" s="56" t="n"/>
      <c r="P19" s="56">
        <f>(SUM(P14:P17))</f>
        <v/>
      </c>
      <c r="R19" s="24">
        <f>(B26+B27)+B43+B44</f>
        <v/>
      </c>
      <c r="S19" s="56" t="n">
        <v>0</v>
      </c>
      <c r="T19" s="56">
        <f>(D26+D27)+D43+D44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7">
        <f>T22/R22</f>
        <v/>
      </c>
      <c r="T22" s="57">
        <f>D36</f>
        <v/>
      </c>
      <c r="U22" t="inlineStr">
        <is>
          <t>Ph 2/5</t>
        </is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>
        <f>B37-B37</f>
        <v/>
      </c>
      <c r="S23" s="57" t="n">
        <v>0</v>
      </c>
      <c r="T23" s="56">
        <f>D37-B37*19.42078</f>
        <v/>
      </c>
      <c r="U23" t="inlineStr">
        <is>
          <t>DCA1 2/5</t>
        </is>
      </c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-B39</f>
        <v/>
      </c>
      <c r="O24" s="56">
        <f>($S$15*[1]Params!K9)</f>
        <v/>
      </c>
      <c r="P24" s="56">
        <f>(O24*N24)</f>
        <v/>
      </c>
      <c r="Q24" t="inlineStr">
        <is>
          <t>Done</t>
        </is>
      </c>
      <c r="R24" s="24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0.382</f>
        <v/>
      </c>
      <c r="O25" s="56">
        <f>C40</f>
        <v/>
      </c>
      <c r="P25" s="56">
        <f>(O25*N25)</f>
        <v/>
      </c>
      <c r="Q25" t="inlineStr">
        <is>
          <t>Done</t>
        </is>
      </c>
      <c r="R25" s="24">
        <f>B39-B39</f>
        <v/>
      </c>
      <c r="S25" s="56" t="n">
        <v>0</v>
      </c>
      <c r="T25" s="56">
        <f>D39-B39*20.2393</f>
        <v/>
      </c>
      <c r="U25" t="inlineStr">
        <is>
          <t>DCA2 2/5</t>
        </is>
      </c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4*($B$19+R19)/5-$N$25-N24-N23</f>
        <v/>
      </c>
      <c r="O26" s="56">
        <f>($S$15*[1]Params!K11)</f>
        <v/>
      </c>
      <c r="P26" s="56">
        <f>O26*N26</f>
        <v/>
      </c>
      <c r="R26" s="24">
        <f>N16-N16</f>
        <v/>
      </c>
      <c r="S26" s="56" t="n">
        <v>0</v>
      </c>
      <c r="T26" s="56">
        <f>-57.77+(N16)*19.42078</f>
        <v/>
      </c>
      <c r="U26" t="inlineStr">
        <is>
          <t>DCA1 3/5</t>
        </is>
      </c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R27" s="24">
        <f>N25-N25</f>
        <v/>
      </c>
      <c r="S27" s="57" t="n">
        <v>0</v>
      </c>
      <c r="T27" s="57">
        <f>-P25+N25*20.2393</f>
        <v/>
      </c>
      <c r="U27" t="inlineStr">
        <is>
          <t>DCA2 3/5</t>
        </is>
      </c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R28" s="24">
        <f>B41</f>
        <v/>
      </c>
      <c r="S28" s="56">
        <f>C41</f>
        <v/>
      </c>
      <c r="T28" s="56">
        <f>D41</f>
        <v/>
      </c>
      <c r="U28" t="inlineStr">
        <is>
          <t>Ph 4/5</t>
        </is>
      </c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R29" s="24">
        <f>B42-B42</f>
        <v/>
      </c>
      <c r="S29" s="56" t="n">
        <v>0</v>
      </c>
      <c r="T29" s="56">
        <f>-P17+N17*20.2879</f>
        <v/>
      </c>
      <c r="U29" t="inlineStr">
        <is>
          <t>DCA1 4/5</t>
        </is>
      </c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R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  <c r="U33" s="57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F35" s="24" t="n"/>
      <c r="H35" s="57" t="n"/>
      <c r="J35" s="57" t="n"/>
      <c r="S35" s="56" t="n"/>
      <c r="T35" s="56" t="n"/>
    </row>
    <row r="36">
      <c r="B36" s="24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24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24" t="n">
        <v>-0.1</v>
      </c>
      <c r="C38" s="56">
        <f>D38/B38</f>
        <v/>
      </c>
      <c r="D38" s="56">
        <f>-3.1462+0.026743</f>
        <v/>
      </c>
      <c r="E38" s="56" t="n"/>
      <c r="N38" s="24" t="n"/>
      <c r="P38" s="57" t="n"/>
      <c r="S38" s="56" t="n"/>
      <c r="T38" s="56" t="n"/>
    </row>
    <row r="39">
      <c r="B39" s="24" t="n">
        <v>-0.65</v>
      </c>
      <c r="C39" s="56">
        <f>D39/B39</f>
        <v/>
      </c>
      <c r="D39" s="56">
        <f>-21.40712492</f>
        <v/>
      </c>
      <c r="E39" s="56" t="n"/>
      <c r="N39" s="24">
        <f>N16+N25</f>
        <v/>
      </c>
      <c r="S39" s="56" t="n"/>
      <c r="T39" s="56" t="n"/>
    </row>
    <row r="40">
      <c r="B40" s="24" t="n">
        <v>-1.6148</v>
      </c>
      <c r="C40" s="56">
        <f>D40/B40</f>
        <v/>
      </c>
      <c r="D40" s="56" t="n">
        <v>-75.67129853</v>
      </c>
      <c r="E40" s="56" t="n"/>
      <c r="S40" s="56" t="n"/>
      <c r="T40" s="56" t="n"/>
    </row>
    <row r="41">
      <c r="B41" s="24" t="n">
        <v>-0.1088</v>
      </c>
      <c r="C41" s="56">
        <f>D41/B41</f>
        <v/>
      </c>
      <c r="D41" s="56">
        <f>-6.4064+0.054455</f>
        <v/>
      </c>
      <c r="E41" s="56" t="n"/>
      <c r="S41" s="56" t="n"/>
      <c r="T41" s="56" t="n"/>
    </row>
    <row r="42">
      <c r="B42" s="24" t="n">
        <v>-1.23</v>
      </c>
      <c r="C42" s="56">
        <f>D42/B42</f>
        <v/>
      </c>
      <c r="D42" s="56" t="n">
        <v>-136.74053841</v>
      </c>
      <c r="E42" s="56" t="n"/>
      <c r="S42" s="56" t="n"/>
      <c r="T42" s="56" t="n"/>
    </row>
    <row r="43">
      <c r="B43" s="24" t="n">
        <v>-0.375</v>
      </c>
      <c r="C43" s="56">
        <f>D43/B43</f>
        <v/>
      </c>
      <c r="D43" s="56" t="n">
        <v>-46.12956124</v>
      </c>
      <c r="E43" s="56" t="n"/>
      <c r="S43" s="56" t="n"/>
      <c r="T43" s="56" t="n"/>
    </row>
    <row r="44">
      <c r="B44" s="24" t="n">
        <v>0.42808296</v>
      </c>
      <c r="C44" s="56">
        <f>D44/B44</f>
        <v/>
      </c>
      <c r="D44" s="56" t="n">
        <v>43.5</v>
      </c>
      <c r="E44" s="56" t="n"/>
      <c r="S44" s="56" t="n"/>
      <c r="T44" s="56" t="n"/>
    </row>
    <row r="45">
      <c r="C45" s="56" t="n"/>
      <c r="D45" s="56" t="n"/>
      <c r="E45" s="56" t="n"/>
      <c r="S45" s="56" t="n"/>
      <c r="T45" s="56" t="n"/>
    </row>
    <row r="46">
      <c r="B46" s="24">
        <f>(SUM(B5:B45))</f>
        <v/>
      </c>
      <c r="C46" s="56" t="n"/>
      <c r="D46" s="56">
        <f>(SUM(D5:D45))</f>
        <v/>
      </c>
      <c r="E46" s="56" t="n"/>
      <c r="F46" t="inlineStr">
        <is>
          <t>Moy</t>
        </is>
      </c>
      <c r="G46" s="56">
        <f>(D46/B46)</f>
        <v/>
      </c>
      <c r="R46" s="24">
        <f>(SUM(R5:R36))</f>
        <v/>
      </c>
      <c r="S46" s="56" t="n"/>
      <c r="T46" s="56">
        <f>(SUM(T5:T36))</f>
        <v/>
      </c>
      <c r="V46" t="inlineStr">
        <is>
          <t>Moy</t>
        </is>
      </c>
      <c r="W46" s="56">
        <f>(T46/R46)</f>
        <v/>
      </c>
    </row>
    <row r="47">
      <c r="M47" s="24" t="n"/>
      <c r="S47" s="56" t="n"/>
      <c r="T47" s="56" t="n"/>
    </row>
    <row r="48"/>
    <row r="49"/>
    <row r="50">
      <c r="N50" s="24" t="n"/>
    </row>
  </sheetData>
  <conditionalFormatting sqref="C5 C8:C10 S5"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16:C17">
    <cfRule type="cellIs" priority="93" operator="lessThan" dxfId="1">
      <formula>$J$3</formula>
    </cfRule>
    <cfRule type="cellIs" priority="94" operator="greaterThan" dxfId="0">
      <formula>$J$3</formula>
    </cfRule>
    <cfRule type="cellIs" priority="95" operator="lessThan" dxfId="1">
      <formula>$J$3</formula>
    </cfRule>
    <cfRule type="cellIs" priority="96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</conditionalFormatting>
  <conditionalFormatting sqref="C19:C20 G46 W46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101" operator="lessThan" dxfId="1">
      <formula>$J$3</formula>
    </cfRule>
    <cfRule type="cellIs" priority="102" operator="greaterThan" dxfId="0">
      <formula>$J$3</formula>
    </cfRule>
  </conditionalFormatting>
  <conditionalFormatting sqref="C27:C28 C30:C31 C34:C35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</conditionalFormatting>
  <conditionalFormatting sqref="S12:S13 S15:S16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3">
    <cfRule type="cellIs" priority="55" operator="greaterThan" dxfId="1">
      <formula>$J$3</formula>
    </cfRule>
    <cfRule type="cellIs" priority="56" operator="lessThan" dxfId="0">
      <formula>$J$3</formula>
    </cfRule>
  </conditionalFormatting>
  <conditionalFormatting sqref="C44"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2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6" t="n">
        <v>0.1038752603628683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76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0.25131185</v>
      </c>
      <c r="C6" s="59" t="n">
        <v>0</v>
      </c>
      <c r="D6" s="60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76">
        <f>($C$5*[1]Params!K8)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76">
        <f>($C$5*[1]Params!K9)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76">
        <f>($C$5*[1]Params!K10)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76">
        <f>($C$5*[1]Params!K11)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O9" sqref="O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6.311247477562044</v>
      </c>
      <c r="M3" t="inlineStr">
        <is>
          <t>Objectif :</t>
        </is>
      </c>
      <c r="N3" s="19">
        <f>(INDEX(N5:N14,MATCH(MAX(O6),O5:O14,0))/0.85)</f>
        <v/>
      </c>
      <c r="O3" s="83">
        <f>(MAX(O6)*0.75)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2.15288315</v>
      </c>
      <c r="C5" s="56">
        <f>(D5/B5)</f>
        <v/>
      </c>
      <c r="D5" s="56" t="n">
        <v>12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6">
        <f>(T5/R5)</f>
        <v/>
      </c>
      <c r="T5" s="56">
        <f>D5-5.49217*N6</f>
        <v/>
      </c>
    </row>
    <row r="6">
      <c r="B6" s="2" t="n">
        <v>0.00262231</v>
      </c>
      <c r="C6" s="59" t="n">
        <v>0</v>
      </c>
      <c r="D6" s="59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-B7</f>
        <v/>
      </c>
      <c r="O6" s="7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0</f>
        <v/>
      </c>
      <c r="T6" s="59">
        <f>(D6)</f>
        <v/>
      </c>
    </row>
    <row r="7">
      <c r="B7">
        <f>-0.409</f>
        <v/>
      </c>
      <c r="C7" s="56">
        <f>D7/B7</f>
        <v/>
      </c>
      <c r="D7" s="56">
        <f>-3.0961407</f>
        <v/>
      </c>
      <c r="E7" s="56" t="n"/>
      <c r="G7" s="56" t="n"/>
      <c r="H7" s="56" t="n"/>
      <c r="J7" s="56" t="n"/>
      <c r="N7" s="1">
        <f>2*($B$5+$B$6)/5-$N$6</f>
        <v/>
      </c>
      <c r="O7" s="76">
        <f>($C$5*[1]Params!K9)</f>
        <v/>
      </c>
      <c r="P7" s="56">
        <f>(O7*N7)</f>
        <v/>
      </c>
      <c r="R7" s="24">
        <f>B7-B7</f>
        <v/>
      </c>
      <c r="S7" s="56" t="n">
        <v>0</v>
      </c>
      <c r="T7" s="56">
        <f>D7-B7*5.49217</f>
        <v/>
      </c>
      <c r="U7" t="inlineStr">
        <is>
          <t>DCA4 1/5</t>
        </is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76">
        <f>($C$5*[1]Params!K10)</f>
        <v/>
      </c>
      <c r="P8" s="56">
        <f>(O8*N8)</f>
        <v/>
      </c>
      <c r="R8" s="19" t="n"/>
      <c r="S8" s="57" t="n"/>
      <c r="T8" s="57" t="n"/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76">
        <f>($C$5*[1]Params!K11)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  <row r="14"/>
    <row r="15"/>
    <row r="16"/>
    <row r="17"/>
    <row r="18">
      <c r="R18">
        <f>(SUM(R5:R17))</f>
        <v/>
      </c>
      <c r="T18" s="56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M1" sqref="M1: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0.5685744072465556</v>
      </c>
      <c r="M3" t="inlineStr">
        <is>
          <t>Objectif :</t>
        </is>
      </c>
      <c r="N3" s="19">
        <f>(INDEX(N5:N14,MATCH(MAX(O6:O7),O5:O14,0))/0.9)</f>
        <v/>
      </c>
      <c r="O3" s="83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6">
        <f>(T5/R5)</f>
        <v/>
      </c>
      <c r="T5" s="56">
        <f>(SUM(D5:D7))</f>
        <v/>
      </c>
    </row>
    <row r="6">
      <c r="B6" s="20" t="n">
        <v>0.81804196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-B12</f>
        <v/>
      </c>
      <c r="O7" s="56">
        <f>P7/N7</f>
        <v/>
      </c>
      <c r="P7" s="56">
        <f>-D12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  <c r="U7" s="57" t="n"/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($C$5*[1]Params!K10)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($C$5*[1]Params!K11)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AA41" sqref="AA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214"/>
    <col width="9.140625" customWidth="1" style="14" min="215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14.47430127117632</v>
      </c>
      <c r="M3" t="inlineStr">
        <is>
          <t>Objectif :</t>
        </is>
      </c>
      <c r="N3" s="19">
        <f>(INDEX(N5:N14,MATCH(MAX(O6),O5:O14,0))/0.85)</f>
        <v/>
      </c>
      <c r="O3" s="83">
        <f>(MAX(O6)*0.75)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1.54269174</v>
      </c>
      <c r="C5" s="56">
        <f>(D5/B5)</f>
        <v/>
      </c>
      <c r="D5" s="56" t="n">
        <v>20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B5+B7</f>
        <v/>
      </c>
      <c r="S5" s="56">
        <f>(T5/R5)</f>
        <v/>
      </c>
      <c r="T5" s="56">
        <f>D5+B7*12.8154</f>
        <v/>
      </c>
    </row>
    <row r="6">
      <c r="B6" s="2" t="n">
        <v>0.00088817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(C6)</f>
        <v/>
      </c>
      <c r="T6" s="59">
        <f>(D6)</f>
        <v/>
      </c>
    </row>
    <row r="7">
      <c r="B7" s="1" t="n">
        <v>-0.29</v>
      </c>
      <c r="C7" s="56">
        <f>D7/B7</f>
        <v/>
      </c>
      <c r="D7" s="56" t="n">
        <v>-4.89894018</v>
      </c>
      <c r="N7" s="1">
        <f>2*(B$14-$B$7)/5+$B$7</f>
        <v/>
      </c>
      <c r="O7" s="56">
        <f>($S$5*[1]Params!K9)</f>
        <v/>
      </c>
      <c r="P7" s="56">
        <f>(O7*N7)</f>
        <v/>
      </c>
      <c r="R7" s="1">
        <f>B7-B7</f>
        <v/>
      </c>
      <c r="S7" s="56" t="n">
        <v>0</v>
      </c>
      <c r="T7" s="57">
        <f>D7+N6*12.8154</f>
        <v/>
      </c>
      <c r="U7" s="57" t="n"/>
    </row>
    <row r="8">
      <c r="C8" s="56" t="n"/>
      <c r="D8" s="56" t="n"/>
      <c r="N8" s="1">
        <f>(B$14-$B$7)/5</f>
        <v/>
      </c>
      <c r="O8" s="56">
        <f>($S$5*[1]Params!K10)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">
        <f>(B$14-$B$7)/5</f>
        <v/>
      </c>
      <c r="O9" s="56">
        <f>($S$5*[1]Params!K11)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7:O9 S5">
    <cfRule type="cellIs" priority="7" operator="lessThan" dxfId="1">
      <formula>$J$3</formula>
    </cfRule>
    <cfRule type="cellIs" priority="8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6" sqref="D6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214"/>
    <col width="9.140625" customWidth="1" style="14" min="215" max="16384"/>
  </cols>
  <sheetData>
    <row r="1"/>
    <row r="2"/>
    <row r="3">
      <c r="I3" t="inlineStr">
        <is>
          <t>Actual Price :</t>
        </is>
      </c>
      <c r="J3" s="76" t="n">
        <v>2.611717021575918</v>
      </c>
      <c r="N3" s="19" t="n"/>
      <c r="O3" s="83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6.67065446</v>
      </c>
      <c r="C5" s="56">
        <f>(D5/B5)</f>
        <v/>
      </c>
      <c r="D5" s="56" t="n">
        <v>20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" t="n">
        <v>0.00017254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9">
        <f>(B$14/5)</f>
        <v/>
      </c>
      <c r="O6" s="56">
        <f>($C$5*[1]Params!K8)</f>
        <v/>
      </c>
      <c r="P6" s="56">
        <f>(O6*N6)</f>
        <v/>
      </c>
      <c r="R6" s="19">
        <f>(B6)</f>
        <v/>
      </c>
      <c r="S6" s="56">
        <f>(C6)</f>
        <v/>
      </c>
      <c r="T6" s="56">
        <f>(D6)</f>
        <v/>
      </c>
    </row>
    <row r="7">
      <c r="B7" s="19" t="n"/>
      <c r="C7" s="56" t="n"/>
      <c r="D7" s="56" t="n"/>
      <c r="N7" s="19">
        <f>(B$14/5)</f>
        <v/>
      </c>
      <c r="O7" s="56">
        <f>($C$5*[1]Params!K9)</f>
        <v/>
      </c>
      <c r="P7" s="56">
        <f>(O7*N7)</f>
        <v/>
      </c>
      <c r="R7" s="19" t="n"/>
      <c r="S7" s="56" t="n"/>
      <c r="T7" s="57" t="n"/>
      <c r="U7" s="57" t="n"/>
    </row>
    <row r="8">
      <c r="C8" s="56" t="n"/>
      <c r="D8" s="56" t="n"/>
      <c r="N8" s="19">
        <f>(B$14/5)</f>
        <v/>
      </c>
      <c r="O8" s="56">
        <f>($C$5*[1]Params!K10)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9">
        <f>(B$14/5)</f>
        <v/>
      </c>
      <c r="O9" s="56">
        <f>($C$5*[1]Params!K11)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2024-01-07T00:19:34Z</dcterms:modified>
  <cp:lastModifiedBy>Tiko</cp:lastModifiedBy>
</cp:coreProperties>
</file>