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1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MP" sheetId="10" r:id="rId10"/>
    <sheet name="APE" sheetId="11" r:id="rId11"/>
    <sheet name="ATOM" sheetId="12" r:id="rId12"/>
    <sheet name="AVAX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B14" i="38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D14" i="37"/>
  <c r="B14"/>
  <c r="G13"/>
  <c r="N9"/>
  <c r="N8"/>
  <c r="T7"/>
  <c r="R7"/>
  <c r="N7"/>
  <c r="C7"/>
  <c r="T6"/>
  <c r="S6"/>
  <c r="R6"/>
  <c r="P6"/>
  <c r="O6"/>
  <c r="O3" s="1"/>
  <c r="N6"/>
  <c r="E6"/>
  <c r="D6"/>
  <c r="T5"/>
  <c r="T18" s="1"/>
  <c r="R5"/>
  <c r="R18" s="1"/>
  <c r="C5"/>
  <c r="K4"/>
  <c r="J4"/>
  <c r="N3"/>
  <c r="B14" i="36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J4"/>
  <c r="K4" s="1"/>
  <c r="D10" i="35"/>
  <c r="C10" s="1"/>
  <c r="B10"/>
  <c r="N7" s="1"/>
  <c r="R9"/>
  <c r="D9"/>
  <c r="C9" s="1"/>
  <c r="R8"/>
  <c r="C8"/>
  <c r="D7"/>
  <c r="T7" s="1"/>
  <c r="B7"/>
  <c r="R7" s="1"/>
  <c r="V7" s="1"/>
  <c r="S6"/>
  <c r="R6"/>
  <c r="P6"/>
  <c r="N6"/>
  <c r="E6"/>
  <c r="D6"/>
  <c r="D12" s="1"/>
  <c r="C5"/>
  <c r="O9" s="1"/>
  <c r="D13" i="34"/>
  <c r="B13"/>
  <c r="G12"/>
  <c r="N9"/>
  <c r="N8"/>
  <c r="N7"/>
  <c r="Q6"/>
  <c r="Q9" s="1"/>
  <c r="N6"/>
  <c r="E6"/>
  <c r="D6"/>
  <c r="C5"/>
  <c r="O9" s="1"/>
  <c r="P9" s="1"/>
  <c r="J4"/>
  <c r="K4" s="1"/>
  <c r="C46" i="33"/>
  <c r="E45"/>
  <c r="D44"/>
  <c r="C44"/>
  <c r="C43"/>
  <c r="C42"/>
  <c r="C41"/>
  <c r="D40"/>
  <c r="C40" s="1"/>
  <c r="S24" s="1"/>
  <c r="N39"/>
  <c r="C39"/>
  <c r="D38"/>
  <c r="C38" s="1"/>
  <c r="D37"/>
  <c r="C37" s="1"/>
  <c r="O8" s="1"/>
  <c r="C36"/>
  <c r="O15" s="1"/>
  <c r="P15" s="1"/>
  <c r="C35"/>
  <c r="C34"/>
  <c r="B33"/>
  <c r="C33" s="1"/>
  <c r="D32"/>
  <c r="C32"/>
  <c r="C31"/>
  <c r="C30"/>
  <c r="C29"/>
  <c r="D28"/>
  <c r="C28"/>
  <c r="B27"/>
  <c r="C27" s="1"/>
  <c r="C26"/>
  <c r="O25"/>
  <c r="P25" s="1"/>
  <c r="T23" s="1"/>
  <c r="N25"/>
  <c r="C25"/>
  <c r="B25"/>
  <c r="T24"/>
  <c r="R24"/>
  <c r="N24"/>
  <c r="C24"/>
  <c r="R23"/>
  <c r="N23"/>
  <c r="C23"/>
  <c r="R22"/>
  <c r="C22"/>
  <c r="T21"/>
  <c r="R21"/>
  <c r="C21"/>
  <c r="O23" s="1"/>
  <c r="P23" s="1"/>
  <c r="R20"/>
  <c r="C20"/>
  <c r="O14" s="1"/>
  <c r="T19"/>
  <c r="R19"/>
  <c r="C19"/>
  <c r="T18"/>
  <c r="S18"/>
  <c r="R18"/>
  <c r="C18"/>
  <c r="T17"/>
  <c r="V17" s="1"/>
  <c r="R17"/>
  <c r="P17"/>
  <c r="T25" s="1"/>
  <c r="N17"/>
  <c r="R25" s="1"/>
  <c r="E17"/>
  <c r="T16"/>
  <c r="R16"/>
  <c r="V16" s="1"/>
  <c r="O16"/>
  <c r="P16" s="1"/>
  <c r="N16"/>
  <c r="T22" s="1"/>
  <c r="C16"/>
  <c r="T15"/>
  <c r="V15" s="1"/>
  <c r="R15"/>
  <c r="N26" s="1"/>
  <c r="N15"/>
  <c r="C15"/>
  <c r="T14"/>
  <c r="R14"/>
  <c r="N14"/>
  <c r="B14"/>
  <c r="E14" s="1"/>
  <c r="T13"/>
  <c r="R13"/>
  <c r="B13"/>
  <c r="E13" s="1"/>
  <c r="T12"/>
  <c r="S12"/>
  <c r="R12"/>
  <c r="E12"/>
  <c r="T11"/>
  <c r="S11"/>
  <c r="O26" s="1"/>
  <c r="P26" s="1"/>
  <c r="R11"/>
  <c r="C11"/>
  <c r="T10"/>
  <c r="S10"/>
  <c r="R10"/>
  <c r="C10"/>
  <c r="T9"/>
  <c r="S9" s="1"/>
  <c r="R9"/>
  <c r="O9"/>
  <c r="C9"/>
  <c r="B9"/>
  <c r="T8"/>
  <c r="S8" s="1"/>
  <c r="R8"/>
  <c r="C8"/>
  <c r="B8"/>
  <c r="P7"/>
  <c r="O7" s="1"/>
  <c r="N7"/>
  <c r="C7"/>
  <c r="T6"/>
  <c r="O6"/>
  <c r="N6"/>
  <c r="P6" s="1"/>
  <c r="B6"/>
  <c r="B48" s="1"/>
  <c r="J4" s="1"/>
  <c r="S5"/>
  <c r="D5"/>
  <c r="D48" s="1"/>
  <c r="G48" s="1"/>
  <c r="B5"/>
  <c r="R5" s="1"/>
  <c r="R13" i="32"/>
  <c r="R48" s="1"/>
  <c r="D10"/>
  <c r="G9" s="1"/>
  <c r="B10"/>
  <c r="N9"/>
  <c r="N8"/>
  <c r="N7"/>
  <c r="T6"/>
  <c r="R6"/>
  <c r="N6"/>
  <c r="D6"/>
  <c r="C6"/>
  <c r="R5"/>
  <c r="C5"/>
  <c r="O7" s="1"/>
  <c r="P7" s="1"/>
  <c r="J4"/>
  <c r="K4" s="1"/>
  <c r="B13" i="31"/>
  <c r="N9"/>
  <c r="R8"/>
  <c r="N8"/>
  <c r="D8"/>
  <c r="T8" s="1"/>
  <c r="S8" s="1"/>
  <c r="C8"/>
  <c r="U7"/>
  <c r="T7"/>
  <c r="S7" s="1"/>
  <c r="R7"/>
  <c r="N7"/>
  <c r="C7"/>
  <c r="R6"/>
  <c r="U6" s="1"/>
  <c r="N6"/>
  <c r="E6"/>
  <c r="D6"/>
  <c r="D13" s="1"/>
  <c r="G12" s="1"/>
  <c r="R5"/>
  <c r="R13" s="1"/>
  <c r="C5"/>
  <c r="O7" s="1"/>
  <c r="P7" s="1"/>
  <c r="J4"/>
  <c r="D14" i="30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T17" s="1"/>
  <c r="R5"/>
  <c r="R17" s="1"/>
  <c r="C5"/>
  <c r="O9" s="1"/>
  <c r="P9" s="1"/>
  <c r="K4"/>
  <c r="J4"/>
  <c r="N3"/>
  <c r="B28" i="29"/>
  <c r="C26"/>
  <c r="C25"/>
  <c r="C24"/>
  <c r="B24"/>
  <c r="D23"/>
  <c r="C23" s="1"/>
  <c r="C22"/>
  <c r="C21"/>
  <c r="D20"/>
  <c r="C20" s="1"/>
  <c r="C19"/>
  <c r="E18"/>
  <c r="C18"/>
  <c r="C17"/>
  <c r="C16"/>
  <c r="P15"/>
  <c r="N15"/>
  <c r="C15"/>
  <c r="T14"/>
  <c r="S14" s="1"/>
  <c r="R14"/>
  <c r="P14"/>
  <c r="O14"/>
  <c r="N14"/>
  <c r="C14"/>
  <c r="T13"/>
  <c r="R13"/>
  <c r="C13"/>
  <c r="T12"/>
  <c r="S12" s="1"/>
  <c r="R12"/>
  <c r="C12"/>
  <c r="T11"/>
  <c r="R11"/>
  <c r="C11"/>
  <c r="T10"/>
  <c r="S10" s="1"/>
  <c r="R10"/>
  <c r="C10"/>
  <c r="R9"/>
  <c r="N9" s="1"/>
  <c r="D9"/>
  <c r="D28" s="1"/>
  <c r="G27" s="1"/>
  <c r="R8"/>
  <c r="N17" s="1"/>
  <c r="P8"/>
  <c r="O8"/>
  <c r="N8"/>
  <c r="C8"/>
  <c r="T7"/>
  <c r="R7"/>
  <c r="N7"/>
  <c r="E7"/>
  <c r="U6"/>
  <c r="T6"/>
  <c r="S6" s="1"/>
  <c r="R6"/>
  <c r="R31" s="1"/>
  <c r="P6"/>
  <c r="O6"/>
  <c r="N6"/>
  <c r="C6"/>
  <c r="T5"/>
  <c r="S5"/>
  <c r="R5"/>
  <c r="C5"/>
  <c r="O9" s="1"/>
  <c r="J4"/>
  <c r="K4" s="1"/>
  <c r="B13" i="28"/>
  <c r="C11"/>
  <c r="R10"/>
  <c r="D10"/>
  <c r="T10" s="1"/>
  <c r="U10" s="1"/>
  <c r="T9"/>
  <c r="S9" s="1"/>
  <c r="R9"/>
  <c r="C9"/>
  <c r="R8"/>
  <c r="D8"/>
  <c r="T8" s="1"/>
  <c r="S8" s="1"/>
  <c r="C8"/>
  <c r="R7"/>
  <c r="P7"/>
  <c r="O7"/>
  <c r="N7"/>
  <c r="N9" s="1"/>
  <c r="E7"/>
  <c r="D7"/>
  <c r="T7" s="1"/>
  <c r="T30" s="1"/>
  <c r="U6"/>
  <c r="T6"/>
  <c r="P6"/>
  <c r="N6"/>
  <c r="N8" s="1"/>
  <c r="E6"/>
  <c r="D6"/>
  <c r="D13" s="1"/>
  <c r="G11" s="1"/>
  <c r="T5"/>
  <c r="S5"/>
  <c r="R5"/>
  <c r="R30" s="1"/>
  <c r="C5"/>
  <c r="O9" s="1"/>
  <c r="P9" s="1"/>
  <c r="J4"/>
  <c r="B10" i="27"/>
  <c r="N9" s="1"/>
  <c r="N7"/>
  <c r="E6"/>
  <c r="D6"/>
  <c r="D10" s="1"/>
  <c r="G9" s="1"/>
  <c r="C5"/>
  <c r="O9" s="1"/>
  <c r="P9" s="1"/>
  <c r="J4"/>
  <c r="K4" s="1"/>
  <c r="N17" i="26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D39" i="25"/>
  <c r="C39" s="1"/>
  <c r="E38"/>
  <c r="D38"/>
  <c r="C38"/>
  <c r="C37"/>
  <c r="C36"/>
  <c r="B35"/>
  <c r="C35" s="1"/>
  <c r="C34"/>
  <c r="C33"/>
  <c r="B32"/>
  <c r="C32" s="1"/>
  <c r="C31"/>
  <c r="C30"/>
  <c r="N29"/>
  <c r="C29"/>
  <c r="C28"/>
  <c r="T27"/>
  <c r="S27" s="1"/>
  <c r="O3" s="1"/>
  <c r="P3" s="1"/>
  <c r="R27"/>
  <c r="C27"/>
  <c r="T26"/>
  <c r="R26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C9"/>
  <c r="B9"/>
  <c r="B41" s="1"/>
  <c r="S8"/>
  <c r="R8"/>
  <c r="C8"/>
  <c r="O6" s="1"/>
  <c r="N6" s="1"/>
  <c r="P6" s="1"/>
  <c r="R7"/>
  <c r="D7"/>
  <c r="T6"/>
  <c r="R6"/>
  <c r="D6"/>
  <c r="T5"/>
  <c r="R5"/>
  <c r="D5"/>
  <c r="D41" s="1"/>
  <c r="N3"/>
  <c r="C21" i="24"/>
  <c r="D20"/>
  <c r="D19"/>
  <c r="D18"/>
  <c r="D17"/>
  <c r="D16"/>
  <c r="D15"/>
  <c r="D14"/>
  <c r="D13"/>
  <c r="D12"/>
  <c r="D11"/>
  <c r="D10"/>
  <c r="D9"/>
  <c r="D8"/>
  <c r="B7"/>
  <c r="B23" s="1"/>
  <c r="J4" s="1"/>
  <c r="O6"/>
  <c r="N6"/>
  <c r="P6" s="1"/>
  <c r="E6"/>
  <c r="D6"/>
  <c r="D5"/>
  <c r="D23" s="1"/>
  <c r="D16" i="23"/>
  <c r="B16"/>
  <c r="G15"/>
  <c r="C14"/>
  <c r="C13"/>
  <c r="C12"/>
  <c r="C11"/>
  <c r="C10"/>
  <c r="T9"/>
  <c r="S9"/>
  <c r="R9"/>
  <c r="N9"/>
  <c r="C9"/>
  <c r="T8"/>
  <c r="R8"/>
  <c r="U8" s="1"/>
  <c r="O8"/>
  <c r="P8" s="1"/>
  <c r="N8"/>
  <c r="C8"/>
  <c r="T7"/>
  <c r="S7"/>
  <c r="R7"/>
  <c r="N7"/>
  <c r="C7"/>
  <c r="O9" s="1"/>
  <c r="P9" s="1"/>
  <c r="T6"/>
  <c r="R6"/>
  <c r="P6"/>
  <c r="O6"/>
  <c r="O3" s="1"/>
  <c r="N6"/>
  <c r="E6"/>
  <c r="D6"/>
  <c r="T5"/>
  <c r="R5"/>
  <c r="C5"/>
  <c r="K4"/>
  <c r="J4"/>
  <c r="N3"/>
  <c r="D11" i="22"/>
  <c r="B11"/>
  <c r="G10"/>
  <c r="R9"/>
  <c r="R22" s="1"/>
  <c r="O9"/>
  <c r="D9"/>
  <c r="T8"/>
  <c r="R8"/>
  <c r="P8"/>
  <c r="O8" s="1"/>
  <c r="N8"/>
  <c r="C8"/>
  <c r="T7"/>
  <c r="R7"/>
  <c r="P7"/>
  <c r="O7"/>
  <c r="N7"/>
  <c r="D7"/>
  <c r="C7"/>
  <c r="S6"/>
  <c r="R6"/>
  <c r="P6"/>
  <c r="N6"/>
  <c r="E6"/>
  <c r="D6"/>
  <c r="T6" s="1"/>
  <c r="T5"/>
  <c r="S5"/>
  <c r="R5"/>
  <c r="C5"/>
  <c r="J4"/>
  <c r="K4" s="1"/>
  <c r="B11" i="21"/>
  <c r="N8" s="1"/>
  <c r="C9"/>
  <c r="T8"/>
  <c r="R8"/>
  <c r="C8"/>
  <c r="T7"/>
  <c r="R7"/>
  <c r="D7"/>
  <c r="C7"/>
  <c r="R6"/>
  <c r="P6"/>
  <c r="N6"/>
  <c r="N9" s="1"/>
  <c r="E6"/>
  <c r="D6"/>
  <c r="T5"/>
  <c r="S5"/>
  <c r="R5"/>
  <c r="R23" s="1"/>
  <c r="C5"/>
  <c r="D10" i="20"/>
  <c r="B10"/>
  <c r="O9"/>
  <c r="P9" s="1"/>
  <c r="N9"/>
  <c r="G9"/>
  <c r="N8"/>
  <c r="N7"/>
  <c r="N6"/>
  <c r="C5"/>
  <c r="O7" s="1"/>
  <c r="P7" s="1"/>
  <c r="J4"/>
  <c r="K4" s="1"/>
  <c r="B13" i="19"/>
  <c r="D11"/>
  <c r="C11" s="1"/>
  <c r="T10"/>
  <c r="R10"/>
  <c r="C10"/>
  <c r="T9"/>
  <c r="R9"/>
  <c r="N9"/>
  <c r="C9"/>
  <c r="T8"/>
  <c r="R8"/>
  <c r="N8"/>
  <c r="C8"/>
  <c r="T7"/>
  <c r="R7"/>
  <c r="P7"/>
  <c r="O7"/>
  <c r="N7"/>
  <c r="C7"/>
  <c r="R6"/>
  <c r="P6"/>
  <c r="N6"/>
  <c r="E6"/>
  <c r="D6"/>
  <c r="T6" s="1"/>
  <c r="S6" s="1"/>
  <c r="T5"/>
  <c r="S5"/>
  <c r="O9" s="1"/>
  <c r="P9" s="1"/>
  <c r="R5"/>
  <c r="R25" s="1"/>
  <c r="C5"/>
  <c r="J4"/>
  <c r="B14" i="18"/>
  <c r="C12"/>
  <c r="D11"/>
  <c r="D14" s="1"/>
  <c r="G13" s="1"/>
  <c r="C10"/>
  <c r="T9"/>
  <c r="S9"/>
  <c r="R9"/>
  <c r="C9"/>
  <c r="T8"/>
  <c r="S8" s="1"/>
  <c r="R8"/>
  <c r="C8"/>
  <c r="T7"/>
  <c r="S7"/>
  <c r="R7"/>
  <c r="N8" s="1"/>
  <c r="P7"/>
  <c r="N7"/>
  <c r="N9" s="1"/>
  <c r="C7"/>
  <c r="T6"/>
  <c r="R6"/>
  <c r="R33" s="1"/>
  <c r="N6"/>
  <c r="C6"/>
  <c r="S6" s="1"/>
  <c r="R5"/>
  <c r="C5"/>
  <c r="O9" s="1"/>
  <c r="P9" s="1"/>
  <c r="J4"/>
  <c r="K4" s="1"/>
  <c r="O9" i="17"/>
  <c r="B9"/>
  <c r="C9" s="1"/>
  <c r="T8"/>
  <c r="R8"/>
  <c r="O8"/>
  <c r="C8"/>
  <c r="B8"/>
  <c r="B13" s="1"/>
  <c r="T7"/>
  <c r="R7"/>
  <c r="O7"/>
  <c r="D7"/>
  <c r="C7"/>
  <c r="R6"/>
  <c r="P6"/>
  <c r="N6"/>
  <c r="E6"/>
  <c r="D6"/>
  <c r="T6" s="1"/>
  <c r="T5"/>
  <c r="S5"/>
  <c r="R5"/>
  <c r="R22" s="1"/>
  <c r="C13" i="16"/>
  <c r="C12"/>
  <c r="D11"/>
  <c r="C11"/>
  <c r="O6" s="1"/>
  <c r="C10"/>
  <c r="T9"/>
  <c r="R9"/>
  <c r="B9"/>
  <c r="D9" s="1"/>
  <c r="D8" s="1"/>
  <c r="B8"/>
  <c r="R8" s="1"/>
  <c r="T7"/>
  <c r="S7" s="1"/>
  <c r="R7"/>
  <c r="R14" s="1"/>
  <c r="C7"/>
  <c r="T6"/>
  <c r="S6"/>
  <c r="R6"/>
  <c r="P6"/>
  <c r="N6"/>
  <c r="E6"/>
  <c r="D6"/>
  <c r="D15" s="1"/>
  <c r="T5"/>
  <c r="R5"/>
  <c r="U5" s="1"/>
  <c r="C5"/>
  <c r="O9" s="1"/>
  <c r="B13" i="15"/>
  <c r="N9"/>
  <c r="O8"/>
  <c r="P8" s="1"/>
  <c r="N8"/>
  <c r="N7"/>
  <c r="C7"/>
  <c r="N6"/>
  <c r="E6"/>
  <c r="D6"/>
  <c r="D13" s="1"/>
  <c r="C5"/>
  <c r="O9" s="1"/>
  <c r="P9" s="1"/>
  <c r="J4"/>
  <c r="N17" i="14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G17" s="1"/>
  <c r="J4"/>
  <c r="B19" i="13"/>
  <c r="C17"/>
  <c r="P16"/>
  <c r="N16"/>
  <c r="C16"/>
  <c r="O16" s="1"/>
  <c r="P15"/>
  <c r="N15"/>
  <c r="C15"/>
  <c r="T14"/>
  <c r="R14"/>
  <c r="P14"/>
  <c r="O14"/>
  <c r="N14"/>
  <c r="N17" s="1"/>
  <c r="D14"/>
  <c r="C14"/>
  <c r="O15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17" s="1"/>
  <c r="P17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T5"/>
  <c r="T19" s="1"/>
  <c r="R5"/>
  <c r="R19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D15" i="10"/>
  <c r="B15"/>
  <c r="G14"/>
  <c r="C13"/>
  <c r="C12"/>
  <c r="C11"/>
  <c r="C10"/>
  <c r="N9"/>
  <c r="C9"/>
  <c r="T8"/>
  <c r="S8" s="1"/>
  <c r="R8"/>
  <c r="O8"/>
  <c r="P8" s="1"/>
  <c r="N8"/>
  <c r="C8"/>
  <c r="T7"/>
  <c r="S7"/>
  <c r="R7"/>
  <c r="P7"/>
  <c r="N7"/>
  <c r="C7"/>
  <c r="T6"/>
  <c r="R6"/>
  <c r="P6"/>
  <c r="N6"/>
  <c r="C6"/>
  <c r="T5"/>
  <c r="S5" s="1"/>
  <c r="R5"/>
  <c r="R17" s="1"/>
  <c r="C5"/>
  <c r="O9" s="1"/>
  <c r="P9" s="1"/>
  <c r="K4"/>
  <c r="J4"/>
  <c r="B15" i="9"/>
  <c r="N9" s="1"/>
  <c r="C13"/>
  <c r="C12"/>
  <c r="C11"/>
  <c r="C10"/>
  <c r="C9"/>
  <c r="C8"/>
  <c r="T7"/>
  <c r="R7"/>
  <c r="R18" s="1"/>
  <c r="C7"/>
  <c r="R6"/>
  <c r="P6"/>
  <c r="N6"/>
  <c r="E6"/>
  <c r="U6" s="1"/>
  <c r="D6"/>
  <c r="D15" s="1"/>
  <c r="G14" s="1"/>
  <c r="T5"/>
  <c r="S5"/>
  <c r="R5"/>
  <c r="C5"/>
  <c r="O9" s="1"/>
  <c r="P9" s="1"/>
  <c r="J4"/>
  <c r="K4" s="1"/>
  <c r="B13" i="8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O9" i="7"/>
  <c r="O7"/>
  <c r="C7"/>
  <c r="R6"/>
  <c r="U6" s="1"/>
  <c r="E6"/>
  <c r="D6"/>
  <c r="T6" s="1"/>
  <c r="C5"/>
  <c r="O8" s="1"/>
  <c r="B5"/>
  <c r="N7" s="1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O6"/>
  <c r="N6"/>
  <c r="P6" s="1"/>
  <c r="D6"/>
  <c r="D5"/>
  <c r="D9" s="1"/>
  <c r="J4"/>
  <c r="D236" i="3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N59" i="2"/>
  <c r="N58"/>
  <c r="O56"/>
  <c r="N51"/>
  <c r="N50"/>
  <c r="N48"/>
  <c r="N43"/>
  <c r="O42"/>
  <c r="P42" s="1"/>
  <c r="N42"/>
  <c r="N41"/>
  <c r="O40"/>
  <c r="P40" s="1"/>
  <c r="N40"/>
  <c r="D36"/>
  <c r="B36"/>
  <c r="N35"/>
  <c r="B35"/>
  <c r="C35" s="1"/>
  <c r="N34"/>
  <c r="C34"/>
  <c r="N33"/>
  <c r="D33"/>
  <c r="C33" s="1"/>
  <c r="O18" s="1"/>
  <c r="P18" s="1"/>
  <c r="B33"/>
  <c r="O32"/>
  <c r="P32" s="1"/>
  <c r="N32"/>
  <c r="C32"/>
  <c r="O48" s="1"/>
  <c r="P48" s="1"/>
  <c r="B30"/>
  <c r="D29"/>
  <c r="D28"/>
  <c r="N27"/>
  <c r="D27"/>
  <c r="N26"/>
  <c r="D26"/>
  <c r="C26"/>
  <c r="O25"/>
  <c r="P25" s="1"/>
  <c r="N25"/>
  <c r="C25"/>
  <c r="U24"/>
  <c r="T24"/>
  <c r="O74" s="1"/>
  <c r="S24"/>
  <c r="N75" s="1"/>
  <c r="O24"/>
  <c r="N24"/>
  <c r="P24" s="1"/>
  <c r="C24"/>
  <c r="U23"/>
  <c r="S23"/>
  <c r="C23"/>
  <c r="C22"/>
  <c r="O43" s="1"/>
  <c r="P43" s="1"/>
  <c r="S21"/>
  <c r="C21"/>
  <c r="C20"/>
  <c r="O35" s="1"/>
  <c r="P35" s="1"/>
  <c r="U19"/>
  <c r="T19"/>
  <c r="O50" s="1"/>
  <c r="P50" s="1"/>
  <c r="S19"/>
  <c r="N49" s="1"/>
  <c r="N19"/>
  <c r="C19"/>
  <c r="O27" s="1"/>
  <c r="P27" s="1"/>
  <c r="U18"/>
  <c r="T18" s="1"/>
  <c r="S18"/>
  <c r="N18"/>
  <c r="D18"/>
  <c r="C18" s="1"/>
  <c r="O16" s="1"/>
  <c r="U17"/>
  <c r="T17" s="1"/>
  <c r="S17"/>
  <c r="O17"/>
  <c r="P17" s="1"/>
  <c r="N17"/>
  <c r="C17"/>
  <c r="O19" s="1"/>
  <c r="P19" s="1"/>
  <c r="U16"/>
  <c r="T16"/>
  <c r="S16"/>
  <c r="N16"/>
  <c r="D16"/>
  <c r="U15"/>
  <c r="T15" s="1"/>
  <c r="S15"/>
  <c r="D15"/>
  <c r="U14"/>
  <c r="T14" s="1"/>
  <c r="S14"/>
  <c r="D14"/>
  <c r="U13"/>
  <c r="S13"/>
  <c r="D13"/>
  <c r="U12"/>
  <c r="T12" s="1"/>
  <c r="S12"/>
  <c r="D12"/>
  <c r="U11"/>
  <c r="S11"/>
  <c r="O11"/>
  <c r="N11"/>
  <c r="D11"/>
  <c r="U10"/>
  <c r="S10"/>
  <c r="O10"/>
  <c r="N10"/>
  <c r="P10" s="1"/>
  <c r="D10"/>
  <c r="T9"/>
  <c r="S9"/>
  <c r="O9"/>
  <c r="N9"/>
  <c r="C9"/>
  <c r="T8"/>
  <c r="S8"/>
  <c r="O8"/>
  <c r="N8"/>
  <c r="P8" s="1"/>
  <c r="C8"/>
  <c r="S7"/>
  <c r="T7" s="1"/>
  <c r="C7"/>
  <c r="S6"/>
  <c r="U6" s="1"/>
  <c r="E6"/>
  <c r="D6"/>
  <c r="S5"/>
  <c r="D5"/>
  <c r="B42" i="1"/>
  <c r="B41"/>
  <c r="C40"/>
  <c r="B38"/>
  <c r="D38" s="1"/>
  <c r="T21" s="1"/>
  <c r="C37"/>
  <c r="C36"/>
  <c r="C35"/>
  <c r="C34"/>
  <c r="D33"/>
  <c r="D32"/>
  <c r="D31"/>
  <c r="D30"/>
  <c r="D29"/>
  <c r="C28"/>
  <c r="D27"/>
  <c r="D26"/>
  <c r="N25"/>
  <c r="D25"/>
  <c r="T24"/>
  <c r="S24" s="1"/>
  <c r="R24"/>
  <c r="D24"/>
  <c r="T23"/>
  <c r="S23"/>
  <c r="O25" s="1"/>
  <c r="P25" s="1"/>
  <c r="R23"/>
  <c r="N24" s="1"/>
  <c r="N23"/>
  <c r="D23"/>
  <c r="C23"/>
  <c r="B23"/>
  <c r="N22"/>
  <c r="D22"/>
  <c r="D21"/>
  <c r="T20"/>
  <c r="S20"/>
  <c r="R20"/>
  <c r="C20"/>
  <c r="C19"/>
  <c r="D19" s="1"/>
  <c r="T10" s="1"/>
  <c r="S10" s="1"/>
  <c r="D18"/>
  <c r="C18"/>
  <c r="S17"/>
  <c r="R17"/>
  <c r="N17"/>
  <c r="D17"/>
  <c r="T16"/>
  <c r="R16"/>
  <c r="N16"/>
  <c r="D16"/>
  <c r="T15"/>
  <c r="R15"/>
  <c r="D15"/>
  <c r="T14"/>
  <c r="R14"/>
  <c r="O14"/>
  <c r="N14"/>
  <c r="P14" s="1"/>
  <c r="D14"/>
  <c r="T13"/>
  <c r="S13" s="1"/>
  <c r="R13"/>
  <c r="D13"/>
  <c r="R12"/>
  <c r="T12" s="1"/>
  <c r="E12"/>
  <c r="D12"/>
  <c r="T11"/>
  <c r="R11"/>
  <c r="D11"/>
  <c r="R10"/>
  <c r="D10"/>
  <c r="T9"/>
  <c r="R9"/>
  <c r="N9"/>
  <c r="D9"/>
  <c r="T8"/>
  <c r="R8"/>
  <c r="N8"/>
  <c r="D8"/>
  <c r="T7"/>
  <c r="R7"/>
  <c r="D7"/>
  <c r="R6"/>
  <c r="T6" s="1"/>
  <c r="O6"/>
  <c r="D6"/>
  <c r="R5"/>
  <c r="D5"/>
  <c r="P3" i="37" l="1"/>
  <c r="P9" i="2"/>
  <c r="P13" s="1"/>
  <c r="P11"/>
  <c r="P12" i="4"/>
  <c r="P14"/>
  <c r="P20"/>
  <c r="P26" s="1"/>
  <c r="P22"/>
  <c r="P30"/>
  <c r="P32"/>
  <c r="P11" i="13"/>
  <c r="P3" i="23"/>
  <c r="P3" i="30"/>
  <c r="O3" i="2"/>
  <c r="P16"/>
  <c r="P21" s="1"/>
  <c r="E236" i="3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L40" i="5"/>
  <c r="M40" s="1"/>
  <c r="M39"/>
  <c r="R32" i="13"/>
  <c r="G18"/>
  <c r="N3"/>
  <c r="O3"/>
  <c r="T8" i="16"/>
  <c r="S8" s="1"/>
  <c r="C8"/>
  <c r="N3"/>
  <c r="O3"/>
  <c r="O24" i="1"/>
  <c r="P24" s="1"/>
  <c r="B39"/>
  <c r="B44"/>
  <c r="B31" i="2"/>
  <c r="O33"/>
  <c r="P33" s="1"/>
  <c r="P37" s="1"/>
  <c r="O34"/>
  <c r="P34" s="1"/>
  <c r="O49"/>
  <c r="P49" s="1"/>
  <c r="P53" s="1"/>
  <c r="O51"/>
  <c r="P51" s="1"/>
  <c r="N72"/>
  <c r="O73"/>
  <c r="N74"/>
  <c r="P74" s="1"/>
  <c r="O75"/>
  <c r="P75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P17"/>
  <c r="P35"/>
  <c r="M47" i="5"/>
  <c r="P7" i="7"/>
  <c r="K4" i="8"/>
  <c r="P11" i="10"/>
  <c r="P19" i="13"/>
  <c r="T14" i="16"/>
  <c r="H37" i="5"/>
  <c r="I37" s="1"/>
  <c r="K37" s="1"/>
  <c r="H38"/>
  <c r="G12" i="15"/>
  <c r="K4"/>
  <c r="T22" i="17"/>
  <c r="S6"/>
  <c r="N8"/>
  <c r="J4"/>
  <c r="N9"/>
  <c r="P9" s="1"/>
  <c r="N7"/>
  <c r="P7" s="1"/>
  <c r="O3" i="1"/>
  <c r="T5"/>
  <c r="R19"/>
  <c r="N15" s="1"/>
  <c r="T19"/>
  <c r="S19" s="1"/>
  <c r="R21"/>
  <c r="O22"/>
  <c r="P22" s="1"/>
  <c r="O23"/>
  <c r="P23" s="1"/>
  <c r="U5" i="2"/>
  <c r="O26"/>
  <c r="P26" s="1"/>
  <c r="P29" s="1"/>
  <c r="D30"/>
  <c r="U21" s="1"/>
  <c r="T21" s="1"/>
  <c r="O41"/>
  <c r="P41" s="1"/>
  <c r="P45" s="1"/>
  <c r="O72"/>
  <c r="P72" s="1"/>
  <c r="N73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K14" i="5"/>
  <c r="I38"/>
  <c r="K38" s="1"/>
  <c r="P8" i="17"/>
  <c r="O9" i="21"/>
  <c r="P9" s="1"/>
  <c r="O8"/>
  <c r="P8" s="1"/>
  <c r="O7"/>
  <c r="D11"/>
  <c r="G10" s="1"/>
  <c r="T6"/>
  <c r="O6" i="22"/>
  <c r="T22" i="23"/>
  <c r="S5"/>
  <c r="N7" i="25"/>
  <c r="P7" s="1"/>
  <c r="J4"/>
  <c r="O7" i="26"/>
  <c r="O8"/>
  <c r="P8" s="1"/>
  <c r="O6"/>
  <c r="P6" s="1"/>
  <c r="O17" i="29"/>
  <c r="P17" s="1"/>
  <c r="O16"/>
  <c r="P14" i="33"/>
  <c r="P19" s="1"/>
  <c r="K4" i="38"/>
  <c r="G13"/>
  <c r="G8" i="4"/>
  <c r="D5" i="7"/>
  <c r="N6"/>
  <c r="N18" s="1"/>
  <c r="N8"/>
  <c r="P8" s="1"/>
  <c r="B13"/>
  <c r="T6" i="8"/>
  <c r="T13" s="1"/>
  <c r="T6" i="9"/>
  <c r="T18" s="1"/>
  <c r="O7"/>
  <c r="O8"/>
  <c r="T17" i="10"/>
  <c r="U5" i="11"/>
  <c r="N7"/>
  <c r="P7" s="1"/>
  <c r="R14"/>
  <c r="O6" i="12"/>
  <c r="P6" s="1"/>
  <c r="O8"/>
  <c r="P8" s="1"/>
  <c r="V7" i="13"/>
  <c r="T6" i="14"/>
  <c r="O14"/>
  <c r="O15"/>
  <c r="P15" s="1"/>
  <c r="D17"/>
  <c r="K4" s="1"/>
  <c r="O7" i="16"/>
  <c r="B15"/>
  <c r="D13" i="17"/>
  <c r="G12" s="1"/>
  <c r="S5" i="18"/>
  <c r="T5" s="1"/>
  <c r="T33" s="1"/>
  <c r="W33" s="1"/>
  <c r="O6"/>
  <c r="O8"/>
  <c r="P8" s="1"/>
  <c r="D13" i="19"/>
  <c r="G12" s="1"/>
  <c r="N7" i="21"/>
  <c r="K4" i="26"/>
  <c r="K4" i="33"/>
  <c r="T9" i="22"/>
  <c r="T22" s="1"/>
  <c r="C9"/>
  <c r="T5" i="33"/>
  <c r="R5" i="7"/>
  <c r="R13" s="1"/>
  <c r="O6"/>
  <c r="O6" i="8"/>
  <c r="O8"/>
  <c r="P8" s="1"/>
  <c r="P11" s="1"/>
  <c r="O6" i="9"/>
  <c r="N7"/>
  <c r="N8"/>
  <c r="O6" i="10"/>
  <c r="O7"/>
  <c r="N6" i="11"/>
  <c r="P6" s="1"/>
  <c r="P11" s="1"/>
  <c r="N8"/>
  <c r="P8" s="1"/>
  <c r="K4" i="12"/>
  <c r="O7"/>
  <c r="P7" s="1"/>
  <c r="U5" i="13"/>
  <c r="T5" i="14"/>
  <c r="O7"/>
  <c r="P7" s="1"/>
  <c r="P11" s="1"/>
  <c r="O8"/>
  <c r="P8" s="1"/>
  <c r="T9"/>
  <c r="N14"/>
  <c r="O16"/>
  <c r="P16" s="1"/>
  <c r="O6" i="15"/>
  <c r="O7"/>
  <c r="P7" s="1"/>
  <c r="O8" i="16"/>
  <c r="O6" i="17"/>
  <c r="O7" i="18"/>
  <c r="C11"/>
  <c r="T25" i="19"/>
  <c r="O6"/>
  <c r="P8"/>
  <c r="O8" s="1"/>
  <c r="O6" i="20"/>
  <c r="P6" s="1"/>
  <c r="P11" s="1"/>
  <c r="O8"/>
  <c r="P8" s="1"/>
  <c r="J4" i="21"/>
  <c r="K4" s="1"/>
  <c r="O6"/>
  <c r="N9" i="22"/>
  <c r="P9" s="1"/>
  <c r="P11" s="1"/>
  <c r="R22" i="23"/>
  <c r="S6"/>
  <c r="G41" i="25"/>
  <c r="K4" i="28"/>
  <c r="P9" i="29"/>
  <c r="P12" i="30"/>
  <c r="K4" i="31"/>
  <c r="P8" i="36"/>
  <c r="O7" i="23"/>
  <c r="P7" s="1"/>
  <c r="P11" s="1"/>
  <c r="N3" i="24"/>
  <c r="P3" s="1"/>
  <c r="C7"/>
  <c r="T7" i="25"/>
  <c r="T41" s="1"/>
  <c r="R9"/>
  <c r="S9" s="1"/>
  <c r="R24"/>
  <c r="R25"/>
  <c r="N7" i="26"/>
  <c r="O14"/>
  <c r="P14" s="1"/>
  <c r="O16"/>
  <c r="P16" s="1"/>
  <c r="O17"/>
  <c r="P17" s="1"/>
  <c r="N6" i="27"/>
  <c r="O7"/>
  <c r="P7" s="1"/>
  <c r="N8"/>
  <c r="O6" i="28"/>
  <c r="O8"/>
  <c r="P8" s="1"/>
  <c r="P11" s="1"/>
  <c r="C10"/>
  <c r="T8" i="29"/>
  <c r="V8" s="1"/>
  <c r="C9"/>
  <c r="T9"/>
  <c r="V9" s="1"/>
  <c r="O15"/>
  <c r="S5" i="30"/>
  <c r="O6" i="31"/>
  <c r="O8"/>
  <c r="P8" s="1"/>
  <c r="O9"/>
  <c r="P9" s="1"/>
  <c r="O6" i="32"/>
  <c r="O8"/>
  <c r="P8" s="1"/>
  <c r="O9"/>
  <c r="P9" s="1"/>
  <c r="C6" i="33"/>
  <c r="R6"/>
  <c r="R48" s="1"/>
  <c r="R7"/>
  <c r="T7" s="1"/>
  <c r="N8"/>
  <c r="P8"/>
  <c r="N9"/>
  <c r="P9" s="1"/>
  <c r="O17"/>
  <c r="T20"/>
  <c r="S20" s="1"/>
  <c r="R5" i="35"/>
  <c r="R20" s="1"/>
  <c r="T5"/>
  <c r="O6"/>
  <c r="T6"/>
  <c r="C7"/>
  <c r="P7"/>
  <c r="O8"/>
  <c r="B12"/>
  <c r="T5" i="36"/>
  <c r="O6"/>
  <c r="O9"/>
  <c r="P9" s="1"/>
  <c r="S5" i="37"/>
  <c r="S5" i="38"/>
  <c r="N7"/>
  <c r="O8"/>
  <c r="P8" s="1"/>
  <c r="T6" i="26"/>
  <c r="T17" s="1"/>
  <c r="O6" i="27"/>
  <c r="P6" s="1"/>
  <c r="P11" s="1"/>
  <c r="O8"/>
  <c r="P8" s="1"/>
  <c r="O7" i="29"/>
  <c r="N3" s="1"/>
  <c r="N16"/>
  <c r="S5" i="31"/>
  <c r="T5" s="1"/>
  <c r="T13" s="1"/>
  <c r="T6"/>
  <c r="S5" i="32"/>
  <c r="T5" s="1"/>
  <c r="O24" i="33"/>
  <c r="P24" s="1"/>
  <c r="P28" s="1"/>
  <c r="O6" i="34"/>
  <c r="P6" s="1"/>
  <c r="P11" s="1"/>
  <c r="O7"/>
  <c r="P7" s="1"/>
  <c r="Q7"/>
  <c r="O8"/>
  <c r="P8" s="1"/>
  <c r="Q8"/>
  <c r="T8" i="35"/>
  <c r="O7" i="38"/>
  <c r="P7" s="1"/>
  <c r="P11" s="1"/>
  <c r="O3" i="33" l="1"/>
  <c r="P27" i="1"/>
  <c r="P11" i="17"/>
  <c r="P11" i="36"/>
  <c r="T13" i="32"/>
  <c r="T48" s="1"/>
  <c r="P11" i="33"/>
  <c r="O8" i="37"/>
  <c r="P8" s="1"/>
  <c r="O9"/>
  <c r="P9" s="1"/>
  <c r="O7"/>
  <c r="P7" s="1"/>
  <c r="O3" i="36"/>
  <c r="N3"/>
  <c r="N8" i="35"/>
  <c r="J4"/>
  <c r="K4" s="1"/>
  <c r="N9"/>
  <c r="P9" s="1"/>
  <c r="O7"/>
  <c r="T9"/>
  <c r="T20"/>
  <c r="S5"/>
  <c r="P6" i="32"/>
  <c r="P11" s="1"/>
  <c r="O3"/>
  <c r="N3"/>
  <c r="O3" i="28"/>
  <c r="N3"/>
  <c r="N3" i="21"/>
  <c r="O3"/>
  <c r="O3" i="15"/>
  <c r="P6"/>
  <c r="P11" s="1"/>
  <c r="N3"/>
  <c r="T37" i="14"/>
  <c r="S5"/>
  <c r="N3" i="9"/>
  <c r="O3"/>
  <c r="N3" i="8"/>
  <c r="O3"/>
  <c r="N7" i="16"/>
  <c r="N9"/>
  <c r="P9" s="1"/>
  <c r="N8"/>
  <c r="J4"/>
  <c r="K4" s="1"/>
  <c r="D13" i="7"/>
  <c r="G12" s="1"/>
  <c r="T5"/>
  <c r="N56" i="2"/>
  <c r="P56" s="1"/>
  <c r="D31"/>
  <c r="U22"/>
  <c r="U20"/>
  <c r="S20"/>
  <c r="S22"/>
  <c r="D39" i="1"/>
  <c r="D44" s="1"/>
  <c r="R22"/>
  <c r="T18"/>
  <c r="S18" s="1"/>
  <c r="R18"/>
  <c r="N6"/>
  <c r="T22"/>
  <c r="P20" i="26"/>
  <c r="P8" i="16"/>
  <c r="G11" i="35"/>
  <c r="N3" i="33"/>
  <c r="P3" s="1"/>
  <c r="T31" i="29"/>
  <c r="P14" i="14"/>
  <c r="P19" s="1"/>
  <c r="P12" i="12"/>
  <c r="P7" i="9"/>
  <c r="P16" i="29"/>
  <c r="P19" s="1"/>
  <c r="P7" i="26"/>
  <c r="P11" s="1"/>
  <c r="K4" i="19"/>
  <c r="P73" i="2"/>
  <c r="P3" i="16"/>
  <c r="P3" i="13"/>
  <c r="B39" i="2"/>
  <c r="O3" i="29"/>
  <c r="P3" s="1"/>
  <c r="P7"/>
  <c r="P11" s="1"/>
  <c r="S5" i="36"/>
  <c r="T18"/>
  <c r="O3" i="35"/>
  <c r="P3" s="1"/>
  <c r="N3"/>
  <c r="P6" i="31"/>
  <c r="P11" s="1"/>
  <c r="O3"/>
  <c r="N3"/>
  <c r="N3" i="19"/>
  <c r="O3"/>
  <c r="P3" s="1"/>
  <c r="O3" i="17"/>
  <c r="N3"/>
  <c r="O3" i="10"/>
  <c r="N3"/>
  <c r="N3" i="7"/>
  <c r="P6"/>
  <c r="O3"/>
  <c r="P3" s="1"/>
  <c r="P6" i="18"/>
  <c r="P11" s="1"/>
  <c r="N3"/>
  <c r="O3"/>
  <c r="P3" s="1"/>
  <c r="N9" i="7"/>
  <c r="P9" s="1"/>
  <c r="J4"/>
  <c r="K4" s="1"/>
  <c r="N3" i="22"/>
  <c r="O3"/>
  <c r="S6" i="21"/>
  <c r="T23"/>
  <c r="O17" i="1"/>
  <c r="P17" s="1"/>
  <c r="O16"/>
  <c r="P16" s="1"/>
  <c r="O15"/>
  <c r="P15" s="1"/>
  <c r="H42" i="5"/>
  <c r="I42" s="1"/>
  <c r="K42" s="1"/>
  <c r="H39"/>
  <c r="J12" i="1"/>
  <c r="J13" s="1"/>
  <c r="J4"/>
  <c r="K4" s="1"/>
  <c r="N3" i="2"/>
  <c r="P3" s="1"/>
  <c r="P8" i="35"/>
  <c r="P11" s="1"/>
  <c r="T48" i="33"/>
  <c r="W48" s="1"/>
  <c r="R41" i="25"/>
  <c r="P7" i="16"/>
  <c r="P12" s="1"/>
  <c r="P8" i="9"/>
  <c r="P7" i="21"/>
  <c r="P11" s="1"/>
  <c r="G14" i="16"/>
  <c r="P77" i="2"/>
  <c r="U38"/>
  <c r="T32" i="1"/>
  <c r="K4" i="17"/>
  <c r="P11" i="19"/>
  <c r="D39" i="2"/>
  <c r="G38" s="1"/>
  <c r="P3" i="22" l="1"/>
  <c r="P3" i="9"/>
  <c r="H40" i="5"/>
  <c r="I40" s="1"/>
  <c r="K40" s="1"/>
  <c r="I39"/>
  <c r="K39" s="1"/>
  <c r="J7" i="2"/>
  <c r="J8" s="1"/>
  <c r="J4"/>
  <c r="K4" s="1"/>
  <c r="N7" i="1"/>
  <c r="R32"/>
  <c r="T13" i="7"/>
  <c r="S5"/>
  <c r="P19" i="1"/>
  <c r="P3" i="10"/>
  <c r="P3" i="17"/>
  <c r="P3" i="31"/>
  <c r="T20" i="2"/>
  <c r="P3" i="8"/>
  <c r="P3" i="15"/>
  <c r="P3" i="28"/>
  <c r="P3" i="32"/>
  <c r="P3" i="36"/>
  <c r="N3" i="1"/>
  <c r="P3" s="1"/>
  <c r="P6"/>
  <c r="O9"/>
  <c r="P9" s="1"/>
  <c r="O8"/>
  <c r="P8" s="1"/>
  <c r="O7"/>
  <c r="P7" s="1"/>
  <c r="G43"/>
  <c r="G7"/>
  <c r="N57" i="2"/>
  <c r="S38"/>
  <c r="P11" i="7"/>
  <c r="P12" i="9"/>
  <c r="P3" i="21"/>
  <c r="P11" i="37"/>
  <c r="O59" i="2" l="1"/>
  <c r="P59" s="1"/>
  <c r="O57"/>
  <c r="P57" s="1"/>
  <c r="O58"/>
  <c r="P58" s="1"/>
  <c r="P11" i="1"/>
  <c r="J13" i="5"/>
  <c r="O47" l="1"/>
  <c r="P47" s="1"/>
  <c r="J15"/>
  <c r="J16" s="1"/>
  <c r="P61" i="2"/>
</calcChain>
</file>

<file path=xl/sharedStrings.xml><?xml version="1.0" encoding="utf-8"?>
<sst xmlns="http://schemas.openxmlformats.org/spreadsheetml/2006/main" count="919" uniqueCount="100">
  <si>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</si>
  <si>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</si>
  <si>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</si>
  <si>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</si>
  <si>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</si>
  <si>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</si>
  <si>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</si>
  <si>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</si>
  <si>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</si>
  <si>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</si>
  <si>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</si>
  <si>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</si>
  <si>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</si>
  <si>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</si>
  <si>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</si>
  <si>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</si>
  <si>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</si>
  <si>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</si>
  <si>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</si>
  <si>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</si>
  <si>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</si>
  <si>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</si>
  <si>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</si>
  <si>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</si>
  <si>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</si>
  <si>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</si>
  <si>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</si>
  <si>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</si>
  <si>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</si>
  <si>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</si>
  <si>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</si>
  <si>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</si>
  <si>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</si>
  <si>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</si>
  <si>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</si>
  <si>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</si>
  <si>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</si>
  <si>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</si>
  <si>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</si>
  <si>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</si>
  <si>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</si>
  <si>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</si>
  <si>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</si>
  <si>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</si>
  <si>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</si>
  <si>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</si>
  <si>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</si>
  <si>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</si>
  <si>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</si>
  <si>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</si>
  <si>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</si>
  <si>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</si>
  <si>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</si>
  <si>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</si>
  <si>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</si>
  <si>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</si>
  <si>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</si>
  <si>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</si>
  <si>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</si>
  <si>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</si>
  <si>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</si>
  <si>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</si>
  <si>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</si>
  <si>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</si>
  <si>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</si>
  <si>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</si>
  <si>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</si>
  <si>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</si>
  <si>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</si>
  <si>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</si>
  <si>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</si>
  <si>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</si>
  <si>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</si>
  <si>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</si>
  <si>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</si>
  <si>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</si>
  <si>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</si>
  <si>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</si>
  <si>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Learn</t>
  </si>
  <si>
    <t>DCA2 *</t>
  </si>
  <si>
    <t>DCA4</t>
  </si>
  <si>
    <t>DCA4*</t>
  </si>
  <si>
    <t>DCA2*</t>
  </si>
  <si>
    <t>*</t>
  </si>
  <si>
    <t>Learn*</t>
  </si>
  <si>
    <t>Learn 1/5</t>
  </si>
  <si>
    <t>Learn 2/5</t>
  </si>
  <si>
    <t>Learn 3/5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</si>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</sst>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6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165" fontId="0" fillId="4" borderId="0" xfId="0" applyNumberFormat="1" applyFill="1"/>
    <xf numFmtId="0" fontId="0" fillId="4" borderId="0" xfId="0" applyFill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5" fontId="0" fillId="0" borderId="0" xfId="0" applyNumberFormat="1"/>
    <xf numFmtId="171" fontId="0" fillId="0" borderId="0" xfId="0" applyNumberFormat="1"/>
    <xf numFmtId="169" fontId="0" fillId="0" borderId="0" xfId="0" applyNumberFormat="1"/>
    <xf numFmtId="176" fontId="0" fillId="0" borderId="0" xfId="1" applyNumberFormat="1" applyFont="1"/>
    <xf numFmtId="176" fontId="0" fillId="0" borderId="0" xfId="0" applyNumberFormat="1"/>
    <xf numFmtId="177" fontId="0" fillId="0" borderId="0" xfId="1" applyNumberFormat="1" applyFont="1"/>
    <xf numFmtId="44" fontId="0" fillId="4" borderId="0" xfId="1" applyFont="1" applyFill="1"/>
    <xf numFmtId="44" fontId="0" fillId="4" borderId="0" xfId="0" applyNumberFormat="1" applyFill="1"/>
  </cellXfs>
  <cellStyles count="3">
    <cellStyle name="Monétaire" xfId="1" builtinId="4"/>
    <cellStyle name="Normal" xfId="0" builtinId="0"/>
    <cellStyle name="Pourcentage" xfId="2" builtinId="5"/>
  </cellStyles>
  <dxfs count="2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  <c:pt idx="204">
                  <c:v>41.4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  <c:pt idx="204">
                  <c:v>4.9470000000000001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  <c:pt idx="204">
                  <c:v>45349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  <c:pt idx="204">
                  <c:v>267.6056338028169</c:v>
                </c:pt>
              </c:numCache>
            </c:numRef>
          </c:val>
        </c:ser>
        <c:marker val="1"/>
        <c:axId val="75115904"/>
        <c:axId val="82953728"/>
      </c:lineChart>
      <c:dateAx>
        <c:axId val="75115904"/>
        <c:scaling>
          <c:orientation val="minMax"/>
        </c:scaling>
        <c:axPos val="b"/>
        <c:numFmt formatCode="dd/mm/yy;@" sourceLinked="1"/>
        <c:majorTickMark val="none"/>
        <c:tickLblPos val="nextTo"/>
        <c:crossAx val="82953728"/>
        <c:crosses val="autoZero"/>
        <c:lblOffset val="100"/>
      </c:dateAx>
      <c:valAx>
        <c:axId val="8295372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1159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workbookViewId="0">
      <selection activeCell="B41" sqref="B41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8">
        <v>3431.1785350975551</v>
      </c>
      <c r="M3" t="s">
        <v>4</v>
      </c>
      <c r="N3" s="23">
        <f>(INDEX(N5:N25,MATCH(MAX(O6,O14),O5:O25,0))/0.85)</f>
        <v>5.464705882352941E-3</v>
      </c>
      <c r="O3" s="29">
        <f>(MAX(O6,O14)*0.75)</f>
        <v>1203.75</v>
      </c>
      <c r="P3" s="28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(B44*J3)</f>
        <v>2273.5073723666219</v>
      </c>
      <c r="K4" s="4">
        <f>(J4/D44-1)</f>
        <v>0.47976370889123388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9">
        <v>4000</v>
      </c>
      <c r="D5" s="30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9">
        <v>4000</v>
      </c>
      <c r="T5" s="30">
        <f>(R5*S5)</f>
        <v>1000</v>
      </c>
    </row>
    <row r="6" spans="2:20">
      <c r="B6" s="23">
        <v>5.9999999999999995E-4</v>
      </c>
      <c r="C6" s="29">
        <v>3950</v>
      </c>
      <c r="D6" s="30">
        <f t="shared" si="0"/>
        <v>2.3699999999999997</v>
      </c>
      <c r="M6" t="s">
        <v>10</v>
      </c>
      <c r="N6">
        <f>(-B39)</f>
        <v>4.6449999999999998E-3</v>
      </c>
      <c r="O6" s="29">
        <f>(C39)</f>
        <v>1605</v>
      </c>
      <c r="P6" s="30">
        <f>(O6*N6)</f>
        <v>7.4552249999999995</v>
      </c>
      <c r="Q6" t="s">
        <v>11</v>
      </c>
      <c r="R6" s="23">
        <f>(B6)</f>
        <v>5.9999999999999995E-4</v>
      </c>
      <c r="S6" s="29">
        <v>3950</v>
      </c>
      <c r="T6" s="30">
        <f>(R6*S6)</f>
        <v>2.3699999999999997</v>
      </c>
    </row>
    <row r="7" spans="2:20">
      <c r="B7" s="23">
        <v>3.3999999999999998E-3</v>
      </c>
      <c r="C7" s="29">
        <v>3428</v>
      </c>
      <c r="D7" s="30">
        <f t="shared" si="0"/>
        <v>11.655199999999999</v>
      </c>
      <c r="F7" t="s">
        <v>12</v>
      </c>
      <c r="G7" s="28">
        <f>(D44/B44)</f>
        <v>2318.7340752318414</v>
      </c>
      <c r="N7">
        <f>(2*($R$18+N6)/5-N6)</f>
        <v>4.6818771999999995E-2</v>
      </c>
      <c r="O7" s="29">
        <f>($S$18*[1]Params!K16)</f>
        <v>3575.0243967576998</v>
      </c>
      <c r="P7" s="30">
        <f>(O7*N7)</f>
        <v>167.37825212623628</v>
      </c>
      <c r="R7" s="23">
        <f>(B7)</f>
        <v>3.3999999999999998E-3</v>
      </c>
      <c r="S7" s="29">
        <v>3428</v>
      </c>
      <c r="T7" s="30">
        <f>(R7*S7)</f>
        <v>11.655199999999999</v>
      </c>
    </row>
    <row r="8" spans="2:20">
      <c r="B8" s="23">
        <v>-7.6E-3</v>
      </c>
      <c r="C8" s="28">
        <v>3216.89</v>
      </c>
      <c r="D8" s="30">
        <f t="shared" si="0"/>
        <v>-24.448363999999998</v>
      </c>
      <c r="N8">
        <f>($B$35/5)</f>
        <v>2.5731885999999999E-2</v>
      </c>
      <c r="O8" s="29">
        <f>($S$18*[1]Params!K17)</f>
        <v>7150.0487935153997</v>
      </c>
      <c r="P8" s="30">
        <f>(O8*N8)</f>
        <v>183.98424044917579</v>
      </c>
      <c r="R8" s="23">
        <f>(B11+B10+B9+B8)</f>
        <v>1.5000000000000005E-3</v>
      </c>
      <c r="S8" s="28">
        <v>0</v>
      </c>
      <c r="T8" s="30">
        <f>(D11+D10+D9+D8)</f>
        <v>-0.15687200000000345</v>
      </c>
    </row>
    <row r="9" spans="2:20">
      <c r="B9" s="23">
        <v>-7.6E-3</v>
      </c>
      <c r="C9" s="28">
        <v>3214.67</v>
      </c>
      <c r="D9" s="30">
        <f t="shared" si="0"/>
        <v>-24.431492000000002</v>
      </c>
      <c r="N9">
        <f>($B$35/5)</f>
        <v>2.5731885999999999E-2</v>
      </c>
      <c r="O9" s="29">
        <f>($S$18*[1]Params!K18)</f>
        <v>14300.097587030799</v>
      </c>
      <c r="P9" s="30">
        <f>(O9*N9)</f>
        <v>367.96848089835157</v>
      </c>
      <c r="R9" s="23">
        <f>(B12)</f>
        <v>7.5067500000000004E-3</v>
      </c>
      <c r="S9" s="28">
        <v>0</v>
      </c>
      <c r="T9" s="30">
        <f>(R9*S9)</f>
        <v>0</v>
      </c>
    </row>
    <row r="10" spans="2:20">
      <c r="B10" s="23">
        <v>-7.6E-3</v>
      </c>
      <c r="C10" s="28">
        <v>3213.16</v>
      </c>
      <c r="D10" s="30">
        <f t="shared" si="0"/>
        <v>-24.420016</v>
      </c>
      <c r="R10" s="23">
        <f>(SUM(B13:B20))</f>
        <v>1.6904289999999999E-2</v>
      </c>
      <c r="S10" s="29">
        <f>(T10/R10)</f>
        <v>267.31751240569082</v>
      </c>
      <c r="T10" s="30">
        <f>(SUM(D13:D20))</f>
        <v>4.5188127517843952</v>
      </c>
    </row>
    <row r="11" spans="2:20">
      <c r="B11" s="23">
        <v>2.4299999999999999E-2</v>
      </c>
      <c r="C11" s="29">
        <v>3010</v>
      </c>
      <c r="D11" s="30">
        <f t="shared" si="0"/>
        <v>73.143000000000001</v>
      </c>
      <c r="I11" t="s">
        <v>10</v>
      </c>
      <c r="J11">
        <v>0.6</v>
      </c>
      <c r="P11" s="30">
        <f>(SUM(P6:P9))</f>
        <v>726.78619847376365</v>
      </c>
      <c r="R11" s="23">
        <f>(B21)</f>
        <v>0.01</v>
      </c>
      <c r="S11" s="29">
        <v>1895</v>
      </c>
      <c r="T11" s="30">
        <f>(R11*S11)</f>
        <v>18.95</v>
      </c>
    </row>
    <row r="12" spans="2:20">
      <c r="B12" s="24">
        <v>7.5067500000000004E-3</v>
      </c>
      <c r="C12" s="31">
        <v>0</v>
      </c>
      <c r="D12" s="32">
        <f t="shared" si="0"/>
        <v>0</v>
      </c>
      <c r="E12" s="28">
        <f>(B12*J3)</f>
        <v>25.756999468343572</v>
      </c>
      <c r="I12" t="s">
        <v>13</v>
      </c>
      <c r="J12">
        <f>(J11-B44)</f>
        <v>-6.2602470000000077E-2</v>
      </c>
      <c r="R12" s="23">
        <f>(B22)</f>
        <v>0.01</v>
      </c>
      <c r="S12" s="29">
        <v>1890.15</v>
      </c>
      <c r="T12" s="30">
        <f>(R12*S12)</f>
        <v>18.901500000000002</v>
      </c>
    </row>
    <row r="13" spans="2:20">
      <c r="B13" s="23">
        <v>-8.0000000000000002E-3</v>
      </c>
      <c r="C13" s="28">
        <v>2340</v>
      </c>
      <c r="D13" s="30">
        <f t="shared" si="0"/>
        <v>-18.72</v>
      </c>
      <c r="I13" t="s">
        <v>14</v>
      </c>
      <c r="J13" s="28">
        <f>(J12*J3)</f>
        <v>-214.80025130808892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9">
        <f>(T13/R13)</f>
        <v>1643.6436436436434</v>
      </c>
      <c r="T13" s="30">
        <f>(82.1)</f>
        <v>82.1</v>
      </c>
    </row>
    <row r="14" spans="2:20">
      <c r="B14" s="23">
        <v>-0.01</v>
      </c>
      <c r="C14" s="28">
        <v>2263</v>
      </c>
      <c r="D14" s="30">
        <f t="shared" si="0"/>
        <v>-22.63</v>
      </c>
      <c r="M14" t="s">
        <v>10</v>
      </c>
      <c r="N14">
        <f>(-B38)</f>
        <v>7.0500000000000001E-4</v>
      </c>
      <c r="O14" s="29">
        <f>(C38)</f>
        <v>1605</v>
      </c>
      <c r="P14" s="30">
        <f>(O14*N14)</f>
        <v>1.1315250000000001</v>
      </c>
      <c r="Q14" t="s">
        <v>11</v>
      </c>
      <c r="R14" s="23">
        <f>(B24)</f>
        <v>0.01</v>
      </c>
      <c r="S14" s="29">
        <v>1709</v>
      </c>
      <c r="T14" s="30">
        <f>(S14*R14)</f>
        <v>17.09</v>
      </c>
    </row>
    <row r="15" spans="2:20">
      <c r="B15" s="23">
        <v>-8.9999999999999993E-3</v>
      </c>
      <c r="C15" s="28">
        <v>2114</v>
      </c>
      <c r="D15" s="30">
        <f t="shared" si="0"/>
        <v>-19.026</v>
      </c>
      <c r="N15">
        <f>(2*($R$19+N14)/5-N14)</f>
        <v>9.6221879999999985E-3</v>
      </c>
      <c r="O15" s="29">
        <f>($S$19*[1]Params!K16)</f>
        <v>3616.0459117340565</v>
      </c>
      <c r="P15" s="30">
        <f>(O15*N15)</f>
        <v>34.79427357933649</v>
      </c>
      <c r="R15" s="23">
        <f>(B25)</f>
        <v>0.01</v>
      </c>
      <c r="S15" s="29">
        <v>1617.3</v>
      </c>
      <c r="T15" s="30">
        <f>(S15*R15)</f>
        <v>16.172999999999998</v>
      </c>
    </row>
    <row r="16" spans="2:20">
      <c r="B16" s="23">
        <v>-8.0000000000000002E-3</v>
      </c>
      <c r="C16" s="28">
        <v>2027.47</v>
      </c>
      <c r="D16" s="30">
        <f t="shared" si="0"/>
        <v>-16.219760000000001</v>
      </c>
      <c r="N16">
        <f>($B$36/5)</f>
        <v>5.1635939999999996E-3</v>
      </c>
      <c r="O16" s="29">
        <f>($S$19*[1]Params!K17)</f>
        <v>7232.091823468113</v>
      </c>
      <c r="P16" s="30">
        <f>(O16*N16)</f>
        <v>37.343585947109005</v>
      </c>
      <c r="R16" s="23">
        <f>(SUM(B26:B33))</f>
        <v>0</v>
      </c>
      <c r="S16" s="28">
        <v>0</v>
      </c>
      <c r="T16" s="30">
        <f>(SUM(D26:D33))</f>
        <v>-1.1127000000000002</v>
      </c>
    </row>
    <row r="17" spans="2:21">
      <c r="B17" s="23">
        <v>-8.2000000000000007E-3</v>
      </c>
      <c r="C17" s="28">
        <v>1961</v>
      </c>
      <c r="D17" s="30">
        <f t="shared" si="0"/>
        <v>-16.080200000000001</v>
      </c>
      <c r="N17">
        <f>($B$36/5)</f>
        <v>5.1635939999999996E-3</v>
      </c>
      <c r="O17" s="29">
        <f>($S$19*[1]Params!K18)</f>
        <v>14464.183646936226</v>
      </c>
      <c r="P17" s="30">
        <f>(O17*N17)</f>
        <v>74.687171894218011</v>
      </c>
      <c r="R17" s="23">
        <f>(B34)</f>
        <v>-0.01</v>
      </c>
      <c r="S17" s="28">
        <f>(T17/R17)</f>
        <v>1219.326523</v>
      </c>
      <c r="T17" s="30">
        <v>-12.19326523</v>
      </c>
    </row>
    <row r="18" spans="2:21">
      <c r="B18" s="23">
        <v>1.6E-2</v>
      </c>
      <c r="C18" s="29">
        <f>1/0.00048218</f>
        <v>2073.9143058608815</v>
      </c>
      <c r="D18" s="30">
        <f t="shared" si="0"/>
        <v>33.182628893774108</v>
      </c>
      <c r="R18" s="23">
        <f>(B35+B39)</f>
        <v>0.12401442999999999</v>
      </c>
      <c r="S18" s="29">
        <f>(T18/R18)</f>
        <v>1787.5121983788499</v>
      </c>
      <c r="T18" s="30">
        <f>(D35+1283.68*B39)</f>
        <v>221.67730639999999</v>
      </c>
      <c r="U18" t="s">
        <v>9</v>
      </c>
    </row>
    <row r="19" spans="2:21">
      <c r="B19" s="23">
        <v>1.2E-2</v>
      </c>
      <c r="C19" s="29">
        <f>1/0.0008564</f>
        <v>1167.6786548341897</v>
      </c>
      <c r="D19" s="30">
        <f t="shared" si="0"/>
        <v>14.012143858010276</v>
      </c>
      <c r="P19" s="30">
        <f>(SUM(P14:P17))</f>
        <v>147.9565564206635</v>
      </c>
      <c r="R19" s="23">
        <f>(B36+B38)</f>
        <v>2.5112969999999998E-2</v>
      </c>
      <c r="S19" s="29">
        <f>(T19/R19)</f>
        <v>1808.0229558670283</v>
      </c>
      <c r="T19" s="30">
        <f>(D36+1269.75*B38)</f>
        <v>45.404826249999999</v>
      </c>
      <c r="U19" t="s">
        <v>15</v>
      </c>
    </row>
    <row r="20" spans="2:21">
      <c r="B20" s="23">
        <v>3.2104290000000001E-2</v>
      </c>
      <c r="C20" s="29">
        <f>D20/B20</f>
        <v>1557.4242570073968</v>
      </c>
      <c r="D20" s="30">
        <v>50</v>
      </c>
      <c r="R20" s="23">
        <f>(B37)</f>
        <v>4.1228E-4</v>
      </c>
      <c r="S20" s="29">
        <f>(C37)</f>
        <v>1212.7680217328029</v>
      </c>
      <c r="T20" s="30">
        <f>(D37)</f>
        <v>0.5</v>
      </c>
    </row>
    <row r="21" spans="2:21">
      <c r="B21" s="23">
        <v>0.01</v>
      </c>
      <c r="C21" s="29">
        <v>1895</v>
      </c>
      <c r="D21" s="30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8">
        <v>0</v>
      </c>
      <c r="T21" s="30">
        <f>(1269.75*-B38+D38)</f>
        <v>-0.23635125000000012</v>
      </c>
      <c r="U21" t="s">
        <v>17</v>
      </c>
    </row>
    <row r="22" spans="2:21">
      <c r="B22" s="23">
        <v>0.01</v>
      </c>
      <c r="C22" s="29">
        <v>1890.15</v>
      </c>
      <c r="D22" s="30">
        <f>B22*C22</f>
        <v>18.901500000000002</v>
      </c>
      <c r="M22" t="s">
        <v>10</v>
      </c>
      <c r="N22">
        <f>($R$23/5)</f>
        <v>1.1723290000000001E-2</v>
      </c>
      <c r="O22" s="29">
        <f>($S$23*[1]Params!K15)</f>
        <v>2872.4871601743198</v>
      </c>
      <c r="P22" s="30">
        <f>(O22*N22)</f>
        <v>33.675000000000004</v>
      </c>
      <c r="R22" s="23">
        <f>(B39-B39)</f>
        <v>0</v>
      </c>
      <c r="S22" s="28">
        <v>0</v>
      </c>
      <c r="T22" s="30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9">
        <f>D23/B23</f>
        <v>1643.6436436436434</v>
      </c>
      <c r="D23" s="30">
        <f>82.1</f>
        <v>82.1</v>
      </c>
      <c r="N23">
        <f>($R$23/5)</f>
        <v>1.1723290000000001E-2</v>
      </c>
      <c r="O23" s="29">
        <f>($S$23*[1]Params!K16)</f>
        <v>3829.9828802324264</v>
      </c>
      <c r="P23" s="30">
        <f>(O23*N23)</f>
        <v>44.900000000000006</v>
      </c>
      <c r="R23" s="23">
        <f>(B40)</f>
        <v>5.861645E-2</v>
      </c>
      <c r="S23" s="29">
        <f>(T23/R23)</f>
        <v>1914.9914401162132</v>
      </c>
      <c r="T23" s="30">
        <f>(D40)</f>
        <v>112.25</v>
      </c>
      <c r="U23" t="s">
        <v>16</v>
      </c>
    </row>
    <row r="24" spans="2:21">
      <c r="B24" s="23">
        <v>0.01</v>
      </c>
      <c r="C24" s="29">
        <v>1709</v>
      </c>
      <c r="D24" s="30">
        <f>C24*B24</f>
        <v>17.09</v>
      </c>
      <c r="N24">
        <f>($R$23/5)</f>
        <v>1.1723290000000001E-2</v>
      </c>
      <c r="O24" s="29">
        <f>($S$23*[1]Params!K17)</f>
        <v>7659.9657604648528</v>
      </c>
      <c r="P24" s="30">
        <f>(O24*N24)</f>
        <v>89.800000000000011</v>
      </c>
      <c r="R24" s="23">
        <f>B41</f>
        <v>3.7960000000000077E-4</v>
      </c>
      <c r="S24" s="29">
        <f>(T24/R24)</f>
        <v>0</v>
      </c>
      <c r="T24" s="30">
        <f>D41</f>
        <v>0</v>
      </c>
    </row>
    <row r="25" spans="2:21">
      <c r="B25" s="23">
        <v>0.01</v>
      </c>
      <c r="C25" s="29">
        <v>1617.3</v>
      </c>
      <c r="D25" s="30">
        <f>(C25*B25)</f>
        <v>16.172999999999998</v>
      </c>
      <c r="N25">
        <f>($R$23/5)</f>
        <v>1.1723290000000001E-2</v>
      </c>
      <c r="O25" s="29">
        <f>($S$23*[1]Params!K18)</f>
        <v>15319.931520929706</v>
      </c>
      <c r="P25" s="30">
        <f>(O25*N25)</f>
        <v>179.60000000000002</v>
      </c>
    </row>
    <row r="26" spans="2:21">
      <c r="B26" s="23">
        <v>-0.01</v>
      </c>
      <c r="C26" s="28">
        <v>1530</v>
      </c>
      <c r="D26" s="30">
        <f>(C26*B26)</f>
        <v>-15.3</v>
      </c>
    </row>
    <row r="27" spans="2:21">
      <c r="B27" s="23">
        <v>0.01</v>
      </c>
      <c r="C27" s="29">
        <v>1500</v>
      </c>
      <c r="D27" s="30">
        <f>(C27*B27)</f>
        <v>15</v>
      </c>
      <c r="P27" s="30">
        <f>(SUM(P22:P25))</f>
        <v>347.97500000000002</v>
      </c>
    </row>
    <row r="28" spans="2:21">
      <c r="B28" s="23">
        <v>-0.01</v>
      </c>
      <c r="C28" s="28">
        <f>(D28/B28)</f>
        <v>1443</v>
      </c>
      <c r="D28" s="30">
        <v>-14.43</v>
      </c>
    </row>
    <row r="29" spans="2:21">
      <c r="B29" s="23">
        <v>0.01</v>
      </c>
      <c r="C29" s="29">
        <v>1428.89</v>
      </c>
      <c r="D29" s="30">
        <f>(C29*B29)</f>
        <v>14.288900000000002</v>
      </c>
    </row>
    <row r="30" spans="2:21">
      <c r="B30" s="23">
        <v>-0.01</v>
      </c>
      <c r="C30" s="28">
        <v>1402.5</v>
      </c>
      <c r="D30" s="30">
        <f>(C30*B30)</f>
        <v>-14.025</v>
      </c>
    </row>
    <row r="31" spans="2:21">
      <c r="B31" s="23">
        <v>0.01</v>
      </c>
      <c r="C31" s="29">
        <v>1372</v>
      </c>
      <c r="D31" s="30">
        <f>(C31*B31)</f>
        <v>13.72</v>
      </c>
    </row>
    <row r="32" spans="2:21">
      <c r="B32" s="23">
        <v>-0.01</v>
      </c>
      <c r="C32" s="28">
        <v>1286.6600000000001</v>
      </c>
      <c r="D32" s="30">
        <f>(C32*B32)</f>
        <v>-12.866600000000002</v>
      </c>
      <c r="R32">
        <f>(SUM(R5:R31))</f>
        <v>0.56839677000000011</v>
      </c>
      <c r="T32" s="30">
        <f>(SUM(T5:T31))</f>
        <v>1536.3989255217841</v>
      </c>
    </row>
    <row r="33" spans="2:7">
      <c r="B33" s="23">
        <v>0.01</v>
      </c>
      <c r="C33" s="29">
        <v>1250</v>
      </c>
      <c r="D33" s="30">
        <f>(C33*B33)</f>
        <v>12.5</v>
      </c>
    </row>
    <row r="34" spans="2:7">
      <c r="B34" s="23">
        <v>-0.01</v>
      </c>
      <c r="C34" s="28">
        <f>(D34/B34)</f>
        <v>1219.326523</v>
      </c>
      <c r="D34" s="30">
        <v>-12.19326523</v>
      </c>
    </row>
    <row r="35" spans="2:7">
      <c r="B35" s="23">
        <v>0.12865942999999999</v>
      </c>
      <c r="C35" s="29">
        <f>(D35/B35)</f>
        <v>1769.322310848105</v>
      </c>
      <c r="D35" s="30">
        <v>227.64</v>
      </c>
      <c r="E35" t="s">
        <v>9</v>
      </c>
    </row>
    <row r="36" spans="2:7">
      <c r="B36" s="23">
        <v>2.5817969999999999E-2</v>
      </c>
      <c r="C36" s="29">
        <f>(D36/B36)</f>
        <v>1793.3245719938477</v>
      </c>
      <c r="D36" s="30">
        <v>46.3</v>
      </c>
      <c r="E36" t="s">
        <v>15</v>
      </c>
    </row>
    <row r="37" spans="2:7">
      <c r="B37" s="23">
        <v>4.1228E-4</v>
      </c>
      <c r="C37" s="29">
        <f>(D37/B37)</f>
        <v>1212.7680217328029</v>
      </c>
      <c r="D37" s="30">
        <v>0.5</v>
      </c>
    </row>
    <row r="38" spans="2:7">
      <c r="B38" s="23">
        <f>(-0.000705)</f>
        <v>-7.0500000000000001E-4</v>
      </c>
      <c r="C38" s="28">
        <v>1605</v>
      </c>
      <c r="D38" s="30">
        <f>(C38*B38)</f>
        <v>-1.1315250000000001</v>
      </c>
    </row>
    <row r="39" spans="2:7">
      <c r="B39" s="23">
        <f>(-0.00535-B38)</f>
        <v>-4.6449999999999998E-3</v>
      </c>
      <c r="C39" s="28">
        <v>1605</v>
      </c>
      <c r="D39" s="30">
        <f>(C39*B39)</f>
        <v>-7.4552249999999995</v>
      </c>
    </row>
    <row r="40" spans="2:7">
      <c r="B40" s="23">
        <v>5.861645E-2</v>
      </c>
      <c r="C40" s="29">
        <f>(D40/B40)</f>
        <v>1914.9914401162132</v>
      </c>
      <c r="D40" s="30">
        <v>112.25</v>
      </c>
      <c r="E40" t="s">
        <v>16</v>
      </c>
    </row>
    <row r="41" spans="2:7">
      <c r="B41" s="23">
        <f>0.0203796-0.02</f>
        <v>3.7960000000000077E-4</v>
      </c>
      <c r="C41" s="29">
        <v>0</v>
      </c>
      <c r="D41" s="30">
        <v>0</v>
      </c>
      <c r="E41" s="33" t="s">
        <v>19</v>
      </c>
    </row>
    <row r="42" spans="2:7">
      <c r="B42" s="23">
        <f>0.0943*0.999</f>
        <v>9.4205699999999989E-2</v>
      </c>
      <c r="C42" s="29">
        <v>0</v>
      </c>
      <c r="D42" s="30">
        <v>0</v>
      </c>
      <c r="E42" s="33" t="s">
        <v>19</v>
      </c>
      <c r="F42">
        <v>0.52980000000000005</v>
      </c>
    </row>
    <row r="43" spans="2:7">
      <c r="F43" t="s">
        <v>12</v>
      </c>
      <c r="G43" s="29">
        <f>D44/B44</f>
        <v>2318.7340752318414</v>
      </c>
    </row>
    <row r="44" spans="2:7">
      <c r="B44">
        <f>(SUM(B5:B43))</f>
        <v>0.66260247000000005</v>
      </c>
      <c r="D44" s="30">
        <f>(SUM(D5:D43))</f>
        <v>1536.3989255217841</v>
      </c>
    </row>
  </sheetData>
  <conditionalFormatting sqref="C5:C7 C11 C18:C25 C27 C29 C31 C33 C35:C37 C40 G43 O3 O7:O9 O15:O17 O22:O25 S5:S7 S10:S15 S18:S20 S23:S24">
    <cfRule type="cellIs" dxfId="293" priority="39" operator="lessThan">
      <formula>$J$3</formula>
    </cfRule>
    <cfRule type="cellIs" dxfId="292" priority="40" operator="greaterThan">
      <formula>$J$3</formula>
    </cfRule>
  </conditionalFormatting>
  <conditionalFormatting sqref="O3">
    <cfRule type="cellIs" dxfId="291" priority="1" operator="greaterThan">
      <formula>$J$3</formula>
    </cfRule>
    <cfRule type="cellIs" dxfId="2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U12" sqref="U12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52">
        <v>5.1375760815649167E-3</v>
      </c>
      <c r="M3" t="s">
        <v>4</v>
      </c>
      <c r="N3" s="23">
        <f>(INDEX(N5:N18,MATCH(MAX(O6),O5:O18,0))/0.85)</f>
        <v>216.71826625882355</v>
      </c>
      <c r="O3" s="53">
        <f>(MAX(O6)*0.75)</f>
        <v>3.3442510713521311E-3</v>
      </c>
      <c r="P3" s="28">
        <f>(O3*N3)</f>
        <v>0.72476029411764709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9">
        <f>(B15*J3)</f>
        <v>2.9912344381594353</v>
      </c>
      <c r="K4" s="4">
        <f>(J4/D15-1)</f>
        <v>2.0410560595835929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2">
        <f t="shared" ref="C5:C13" si="0">(D5/B5)</f>
        <v>3.3950093362756749E-3</v>
      </c>
      <c r="D5" s="28">
        <v>3</v>
      </c>
      <c r="E5" t="s">
        <v>78</v>
      </c>
      <c r="N5" t="s">
        <v>30</v>
      </c>
      <c r="O5" t="s">
        <v>1</v>
      </c>
      <c r="P5" t="s">
        <v>2</v>
      </c>
      <c r="R5" s="18">
        <f>(B5)</f>
        <v>883.65</v>
      </c>
      <c r="S5" s="52">
        <f>(T5/R5)</f>
        <v>3.3950093362756749E-3</v>
      </c>
      <c r="T5" s="29">
        <f>(D5)</f>
        <v>3</v>
      </c>
    </row>
    <row r="6" spans="2:20">
      <c r="B6" s="18">
        <v>-170.21276596000001</v>
      </c>
      <c r="C6" s="52">
        <f t="shared" si="0"/>
        <v>4.5729766249314055E-3</v>
      </c>
      <c r="D6" s="28">
        <v>-0.77837900000000004</v>
      </c>
      <c r="M6" t="s">
        <v>10</v>
      </c>
      <c r="N6" s="18">
        <f>-B12</f>
        <v>184.21052632000001</v>
      </c>
      <c r="O6" s="52">
        <f>P6/N6</f>
        <v>4.4590014284695079E-3</v>
      </c>
      <c r="P6" s="28">
        <f>-D12</f>
        <v>0.82139499999999999</v>
      </c>
      <c r="Q6" t="s">
        <v>11</v>
      </c>
      <c r="R6" s="18">
        <f>(SUM(B6:B11))</f>
        <v>71.63623869999995</v>
      </c>
      <c r="S6" s="52">
        <v>0</v>
      </c>
      <c r="T6" s="29">
        <f>(SUM(D6:D11))</f>
        <v>-0.16783900000000007</v>
      </c>
    </row>
    <row r="7" spans="2:20">
      <c r="B7" s="18">
        <v>-175.57251908000001</v>
      </c>
      <c r="C7" s="52">
        <f t="shared" si="0"/>
        <v>5.0894468262020218E-3</v>
      </c>
      <c r="D7" s="28">
        <v>-0.893567</v>
      </c>
      <c r="N7" s="18">
        <f>-B13</f>
        <v>188.84892085999999</v>
      </c>
      <c r="O7" s="52">
        <f>($C$5*[1]Params!K9)</f>
        <v>5.4320149380410803E-3</v>
      </c>
      <c r="P7" s="28">
        <f>-D13</f>
        <v>1.0271490000000001</v>
      </c>
      <c r="Q7" t="s">
        <v>11</v>
      </c>
      <c r="R7" s="18">
        <f>B12</f>
        <v>-184.21052632000001</v>
      </c>
      <c r="S7" s="52">
        <f>T7/R7</f>
        <v>4.4590014284695079E-3</v>
      </c>
      <c r="T7" s="29">
        <f>D12</f>
        <v>-0.82139499999999999</v>
      </c>
    </row>
    <row r="8" spans="2:20">
      <c r="B8" s="18">
        <v>-167.78523490000001</v>
      </c>
      <c r="C8" s="52">
        <f t="shared" si="0"/>
        <v>7.2337771599710653E-3</v>
      </c>
      <c r="D8" s="28">
        <v>-1.213721</v>
      </c>
      <c r="N8" s="18">
        <f>($B$15/3)</f>
        <v>194.07559717333334</v>
      </c>
      <c r="O8" s="52">
        <f>($C$5*[1]Params!K10)</f>
        <v>7.4690205398064849E-3</v>
      </c>
      <c r="P8" s="28">
        <f>(O8*N8)</f>
        <v>1.4495546215628361</v>
      </c>
      <c r="R8" s="18">
        <f>B13</f>
        <v>-188.84892085999999</v>
      </c>
      <c r="S8" s="52">
        <f>T8/R8</f>
        <v>5.4389985143810269E-3</v>
      </c>
      <c r="T8" s="29">
        <f>D13</f>
        <v>-1.0271490000000001</v>
      </c>
    </row>
    <row r="9" spans="2:20">
      <c r="B9" s="18">
        <v>196.03891277</v>
      </c>
      <c r="C9" s="52">
        <f t="shared" si="0"/>
        <v>5.7642178485542315E-3</v>
      </c>
      <c r="D9" s="28">
        <v>1.1300110000000001</v>
      </c>
      <c r="N9" s="18">
        <f>($B$15/3)</f>
        <v>194.07559717333334</v>
      </c>
      <c r="O9" s="52">
        <f>($C$5*[1]Params!K11)</f>
        <v>1.6975046681378374E-2</v>
      </c>
      <c r="P9" s="28">
        <f>(O9*N9)</f>
        <v>3.2944423217337184</v>
      </c>
    </row>
    <row r="10" spans="2:20">
      <c r="B10" s="18">
        <v>197.79050007999999</v>
      </c>
      <c r="C10" s="52">
        <f t="shared" si="0"/>
        <v>4.2977797197346571E-3</v>
      </c>
      <c r="D10" s="28">
        <v>0.85006000000000004</v>
      </c>
    </row>
    <row r="11" spans="2:20">
      <c r="B11" s="18">
        <v>191.37734578999999</v>
      </c>
      <c r="C11" s="52">
        <f t="shared" si="0"/>
        <v>3.8549860588491342E-3</v>
      </c>
      <c r="D11" s="28">
        <v>0.737757</v>
      </c>
      <c r="P11" s="28">
        <f>(SUM(P6:P9))</f>
        <v>6.5925409432965552</v>
      </c>
    </row>
    <row r="12" spans="2:20">
      <c r="B12" s="18">
        <v>-184.21052632000001</v>
      </c>
      <c r="C12" s="52">
        <f t="shared" si="0"/>
        <v>4.4590014284695079E-3</v>
      </c>
      <c r="D12" s="28">
        <v>-0.82139499999999999</v>
      </c>
    </row>
    <row r="13" spans="2:20">
      <c r="B13" s="18">
        <v>-188.84892085999999</v>
      </c>
      <c r="C13" s="52">
        <f t="shared" si="0"/>
        <v>5.4389985143810269E-3</v>
      </c>
      <c r="D13" s="28">
        <v>-1.0271490000000001</v>
      </c>
    </row>
    <row r="14" spans="2:20">
      <c r="F14" t="s">
        <v>12</v>
      </c>
      <c r="G14" s="52">
        <f>(D15/B15)</f>
        <v>1.6894052529463719E-3</v>
      </c>
    </row>
    <row r="15" spans="2:20">
      <c r="B15">
        <f>(SUM(B5:B14))</f>
        <v>582.22679152000001</v>
      </c>
      <c r="D15" s="29">
        <f>(SUM(D5:D14))</f>
        <v>0.98361700000000019</v>
      </c>
    </row>
    <row r="17" spans="11:20">
      <c r="R17">
        <f>(SUM(R5:R16))</f>
        <v>582.22679151999989</v>
      </c>
      <c r="T17" s="29">
        <f>(SUM(T5:T16))</f>
        <v>0.98361700000000019</v>
      </c>
    </row>
    <row r="21" spans="11:20">
      <c r="K21" s="29"/>
    </row>
  </sheetData>
  <conditionalFormatting sqref="C5">
    <cfRule type="cellIs" dxfId="239" priority="19" operator="lessThan">
      <formula>$J$3</formula>
    </cfRule>
    <cfRule type="cellIs" dxfId="238" priority="20" operator="greaterThan">
      <formula>$J$3</formula>
    </cfRule>
  </conditionalFormatting>
  <conditionalFormatting sqref="C9:C11 G14 O8:O9 S5">
    <cfRule type="cellIs" dxfId="237" priority="15" operator="lessThan">
      <formula>$J$3</formula>
    </cfRule>
    <cfRule type="cellIs" dxfId="236" priority="16" operator="greaterThan">
      <formula>$J$3</formula>
    </cfRule>
    <cfRule type="cellIs" dxfId="235" priority="17" operator="lessThan">
      <formula>$J$3</formula>
    </cfRule>
    <cfRule type="cellIs" dxfId="234" priority="18" operator="greaterThan">
      <formula>$J$3</formula>
    </cfRule>
  </conditionalFormatting>
  <conditionalFormatting sqref="O3">
    <cfRule type="cellIs" dxfId="233" priority="1" operator="greaterThan">
      <formula>$J$3</formula>
    </cfRule>
    <cfRule type="cellIs" dxfId="232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8">
        <v>2.2737230102862869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40.882967873107432</v>
      </c>
      <c r="K4" s="4">
        <f>(J4/D14-1)</f>
        <v>-0.11336810025039568</v>
      </c>
      <c r="R4" t="s">
        <v>5</v>
      </c>
      <c r="S4" t="s">
        <v>6</v>
      </c>
      <c r="T4" t="s">
        <v>7</v>
      </c>
    </row>
    <row r="5" spans="2:21">
      <c r="B5" s="39">
        <v>17.31241954</v>
      </c>
      <c r="C5" s="28">
        <f>(D5/B5)</f>
        <v>2.6743806602551867</v>
      </c>
      <c r="D5" s="28">
        <v>46.3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0.60226683000000003</v>
      </c>
      <c r="S5" s="31">
        <v>0</v>
      </c>
      <c r="T5" s="32">
        <f>(D6)</f>
        <v>0</v>
      </c>
      <c r="U5" s="28">
        <f>(R5*J3)</f>
        <v>1.3693879497031796</v>
      </c>
    </row>
    <row r="6" spans="2:21">
      <c r="B6" s="51">
        <v>0.60226683000000003</v>
      </c>
      <c r="C6" s="31">
        <v>0</v>
      </c>
      <c r="D6" s="32">
        <f>(B6*C6)</f>
        <v>0</v>
      </c>
      <c r="E6" s="28">
        <f>(B6*J3)</f>
        <v>1.3693879497031796</v>
      </c>
      <c r="M6" t="s">
        <v>10</v>
      </c>
      <c r="N6" s="39">
        <f>(SUM(R5:R7)/5)</f>
        <v>3.5961256220000002</v>
      </c>
      <c r="O6" s="28">
        <f>($C$5*[1]Params!K8)</f>
        <v>3.4766948583317427</v>
      </c>
      <c r="P6" s="28">
        <f>(O6*N6)</f>
        <v>12.502631459922441</v>
      </c>
      <c r="R6" s="39">
        <f>(B5)</f>
        <v>17.31241954</v>
      </c>
      <c r="S6" s="28">
        <f>(T6/R6)</f>
        <v>2.6743806602551867</v>
      </c>
      <c r="T6" s="28">
        <f>(D5)</f>
        <v>46.3</v>
      </c>
      <c r="U6" t="s">
        <v>15</v>
      </c>
    </row>
    <row r="7" spans="2:21">
      <c r="B7" s="39">
        <v>-0.2273</v>
      </c>
      <c r="C7" s="28">
        <f t="shared" ref="C7:C12" si="0">(D7/B7)</f>
        <v>4.95</v>
      </c>
      <c r="D7" s="28">
        <v>-1.125135</v>
      </c>
      <c r="N7" s="39">
        <f>(SUM(R5:R7)/5)</f>
        <v>3.5961256220000002</v>
      </c>
      <c r="O7" s="28">
        <f>($C$5*[1]Params!K9)</f>
        <v>4.2790090564082988</v>
      </c>
      <c r="P7" s="28">
        <f>(O7*N7)</f>
        <v>15.387854104519928</v>
      </c>
      <c r="R7" s="39">
        <f>(SUM(B7:B12))</f>
        <v>6.5941739999999971E-2</v>
      </c>
      <c r="S7" s="28">
        <v>0</v>
      </c>
      <c r="T7" s="28">
        <f>(SUM(D7:D12))</f>
        <v>-0.18958158999999997</v>
      </c>
      <c r="U7" s="29">
        <f>-T7+R7*J3</f>
        <v>0.33951484157631556</v>
      </c>
    </row>
    <row r="8" spans="2:21">
      <c r="B8" s="39">
        <v>-0.30499999999999999</v>
      </c>
      <c r="C8" s="28">
        <f t="shared" si="0"/>
        <v>6.2656189508196727</v>
      </c>
      <c r="D8" s="28">
        <v>-1.91101378</v>
      </c>
      <c r="N8" s="39">
        <f>(SUM(R5:R7)/5)</f>
        <v>3.5961256220000002</v>
      </c>
      <c r="O8" s="28">
        <f>($C$5*[1]Params!K10)</f>
        <v>5.8836374525614117</v>
      </c>
      <c r="P8" s="28">
        <f>(O8*N8)</f>
        <v>21.158299393714902</v>
      </c>
    </row>
    <row r="9" spans="2:21">
      <c r="B9" s="39">
        <v>0.34203370999999999</v>
      </c>
      <c r="C9" s="28">
        <f t="shared" si="0"/>
        <v>5.2626391708583347</v>
      </c>
      <c r="D9" s="28">
        <v>1.8</v>
      </c>
      <c r="N9" s="39">
        <f>(SUM(R5:R7)/5)</f>
        <v>3.5961256220000002</v>
      </c>
      <c r="O9" s="28">
        <f>($C$5*[1]Params!K11)</f>
        <v>13.371903301275934</v>
      </c>
      <c r="P9" s="28">
        <f>(O9*N9)</f>
        <v>48.087044076624771</v>
      </c>
    </row>
    <row r="10" spans="2:21">
      <c r="B10" s="39">
        <v>0.25620802999999998</v>
      </c>
      <c r="C10" s="28">
        <f t="shared" si="0"/>
        <v>4.1372629889859427</v>
      </c>
      <c r="D10" s="28">
        <v>1.06</v>
      </c>
    </row>
    <row r="11" spans="2:21">
      <c r="B11" s="39">
        <v>-0.4</v>
      </c>
      <c r="C11" s="28">
        <f t="shared" si="0"/>
        <v>4.1562849000000002</v>
      </c>
      <c r="D11" s="28">
        <v>-1.6625139600000001</v>
      </c>
      <c r="P11" s="28">
        <f>(SUM(P6:P9))</f>
        <v>97.135829034782034</v>
      </c>
    </row>
    <row r="12" spans="2:21">
      <c r="B12" s="39">
        <v>0.4</v>
      </c>
      <c r="C12" s="28">
        <f t="shared" si="0"/>
        <v>4.1227028749999999</v>
      </c>
      <c r="D12" s="28">
        <f>(1.64908115)</f>
        <v>1.64908115</v>
      </c>
    </row>
    <row r="13" spans="2:21">
      <c r="F13" t="s">
        <v>12</v>
      </c>
      <c r="G13" s="28">
        <f>(D14/B14)</f>
        <v>2.5644498138724918</v>
      </c>
    </row>
    <row r="14" spans="2:21">
      <c r="B14" s="39">
        <f>(SUM(B5:B13))</f>
        <v>17.980628110000001</v>
      </c>
      <c r="D14" s="28">
        <f>(SUM(D5:D13))</f>
        <v>46.110418410000001</v>
      </c>
      <c r="R14" s="39">
        <f>(SUM(R5:R13))</f>
        <v>17.980628110000001</v>
      </c>
      <c r="T14" s="28">
        <f>(SUM(T5:T13))</f>
        <v>46.110418409999994</v>
      </c>
    </row>
    <row r="22" spans="4:4">
      <c r="D22" s="39"/>
    </row>
  </sheetData>
  <conditionalFormatting sqref="C5 C7:C12">
    <cfRule type="cellIs" dxfId="231" priority="7" operator="lessThan">
      <formula>$J$3</formula>
    </cfRule>
    <cfRule type="cellIs" dxfId="230" priority="8" operator="greaterThan">
      <formula>$J$3</formula>
    </cfRule>
  </conditionalFormatting>
  <conditionalFormatting sqref="O6:O9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S6:S7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8">
        <v>12.13807840366294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(B14*J3)</f>
        <v>14.905056185301987</v>
      </c>
      <c r="K4" s="4">
        <f>(J4/D14-1)</f>
        <v>0.363683091061481</v>
      </c>
    </row>
    <row r="5" spans="2:16">
      <c r="B5" s="39">
        <v>1.1100000000000001</v>
      </c>
      <c r="C5" s="28">
        <f>(D5/B5)</f>
        <v>9.8468468468468462</v>
      </c>
      <c r="D5" s="28">
        <v>10.93</v>
      </c>
      <c r="N5" t="s">
        <v>30</v>
      </c>
      <c r="O5" t="s">
        <v>1</v>
      </c>
      <c r="P5" t="s">
        <v>2</v>
      </c>
    </row>
    <row r="6" spans="2:16">
      <c r="B6" s="39">
        <v>8.7936070000000005E-2</v>
      </c>
      <c r="C6" s="28">
        <v>0</v>
      </c>
      <c r="D6" s="28">
        <f>(B6*C6)</f>
        <v>0</v>
      </c>
      <c r="E6" s="28">
        <f>(B6*J3)</f>
        <v>1.0673749121699925</v>
      </c>
      <c r="M6" t="s">
        <v>10</v>
      </c>
      <c r="N6" s="1">
        <f>(SUM($B$5:$B$7)/5)</f>
        <v>0.24559169400000003</v>
      </c>
      <c r="O6" s="28">
        <f>($C$5*[1]Params!K8)</f>
        <v>12.800900900900901</v>
      </c>
      <c r="P6" s="28">
        <f>(O6*N6)</f>
        <v>3.1437949369783786</v>
      </c>
    </row>
    <row r="7" spans="2:16">
      <c r="B7" s="51">
        <v>3.0022400000000001E-2</v>
      </c>
      <c r="C7" s="31">
        <v>0</v>
      </c>
      <c r="D7" s="32">
        <f>(C7*B7)</f>
        <v>0</v>
      </c>
      <c r="E7" s="28">
        <f>(B7*J4)</f>
        <v>0.44748555881761037</v>
      </c>
      <c r="N7" s="1">
        <f>(SUM($B$5:$B$7)/5)</f>
        <v>0.24559169400000003</v>
      </c>
      <c r="O7" s="28">
        <f>($C$5*[1]Params!K9)</f>
        <v>15.754954954954954</v>
      </c>
      <c r="P7" s="28">
        <f>(O7*N7)</f>
        <v>3.8692860762810812</v>
      </c>
    </row>
    <row r="8" spans="2:16">
      <c r="N8" s="1">
        <f>(SUM($B$5:$B$7)/5)</f>
        <v>0.24559169400000003</v>
      </c>
      <c r="O8" s="28">
        <f>($C$5*[1]Params!K10)</f>
        <v>21.663063063063063</v>
      </c>
      <c r="P8" s="28">
        <f>(O8*N8)</f>
        <v>5.3202683548864869</v>
      </c>
    </row>
    <row r="9" spans="2:16">
      <c r="N9" s="1">
        <f>(SUM($B$5:$B$7)/5)</f>
        <v>0.24559169400000003</v>
      </c>
      <c r="O9" s="28">
        <f>($C$5*[1]Params!K11)</f>
        <v>49.234234234234229</v>
      </c>
      <c r="P9" s="28">
        <f>(O9*N9)</f>
        <v>12.091518988378379</v>
      </c>
    </row>
    <row r="12" spans="2:16">
      <c r="P12" s="28">
        <f>(SUM(P6:P9))</f>
        <v>24.424868356524325</v>
      </c>
    </row>
    <row r="13" spans="2:16">
      <c r="F13" t="s">
        <v>12</v>
      </c>
      <c r="G13" s="28">
        <f>(D14/B14)</f>
        <v>8.9009524890528251</v>
      </c>
    </row>
    <row r="14" spans="2:16">
      <c r="B14" s="18">
        <f>(SUM(B5:B13))</f>
        <v>1.2279584700000001</v>
      </c>
      <c r="D14" s="28">
        <f>(SUM(D5:D13))</f>
        <v>10.93</v>
      </c>
    </row>
  </sheetData>
  <conditionalFormatting sqref="C5">
    <cfRule type="cellIs" dxfId="223" priority="5" operator="lessThan">
      <formula>$J$3</formula>
    </cfRule>
    <cfRule type="cellIs" dxfId="222" priority="6" operator="greaterThan">
      <formula>$J$3</formula>
    </cfRule>
  </conditionalFormatting>
  <conditionalFormatting sqref="O6:O9">
    <cfRule type="cellIs" dxfId="221" priority="3" operator="lessThan">
      <formula>$J$3</formula>
    </cfRule>
    <cfRule type="cellIs" dxfId="220" priority="4" operator="greaterThan">
      <formula>$J$3</formula>
    </cfRule>
  </conditionalFormatting>
  <conditionalFormatting sqref="G13">
    <cfRule type="cellIs" dxfId="219" priority="1" operator="lessThan">
      <formula>$J$3</formula>
    </cfRule>
    <cfRule type="cellIs" dxfId="218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8">
        <v>42.970862774790938</v>
      </c>
      <c r="M3" t="s">
        <v>4</v>
      </c>
      <c r="N3" s="23">
        <f>(INDEX(N5:N17,MATCH(MAX(O14:O16,O6:O8),O5:O17,0))/0.85)</f>
        <v>0.59400000000000008</v>
      </c>
      <c r="O3" s="29">
        <f>(MAX(O14:O16,O6:O8)*0.75)</f>
        <v>27.127959685086154</v>
      </c>
      <c r="P3" s="28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(B19*J3)</f>
        <v>68.875903690403902</v>
      </c>
      <c r="K4" s="4">
        <f>(J4/D19-1)</f>
        <v>8.5821660690595216</v>
      </c>
      <c r="R4" t="s">
        <v>5</v>
      </c>
      <c r="S4" t="s">
        <v>6</v>
      </c>
      <c r="T4" t="s">
        <v>7</v>
      </c>
    </row>
    <row r="5" spans="2:22">
      <c r="B5" s="23">
        <v>2.7045436600000001</v>
      </c>
      <c r="C5" s="28">
        <f>(D5/B5)</f>
        <v>17.119339090277432</v>
      </c>
      <c r="D5" s="28">
        <v>46.3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1.684314E-2</v>
      </c>
      <c r="S5" s="31">
        <v>0</v>
      </c>
      <c r="T5" s="32">
        <f>(D6)</f>
        <v>0</v>
      </c>
      <c r="U5" s="28">
        <f>(R5*J3)</f>
        <v>0.72376425763659225</v>
      </c>
    </row>
    <row r="6" spans="2:22">
      <c r="B6" s="24">
        <v>1.684314E-2</v>
      </c>
      <c r="C6" s="31">
        <v>0</v>
      </c>
      <c r="D6" s="32">
        <f>(B6*C6)</f>
        <v>0</v>
      </c>
      <c r="E6" s="28">
        <f>(B6*J3)</f>
        <v>0.72376425763659225</v>
      </c>
      <c r="M6" t="s">
        <v>10</v>
      </c>
      <c r="N6" s="23">
        <f>($B$5+$R$7)/5</f>
        <v>0.54736814800000011</v>
      </c>
      <c r="O6" s="28">
        <f>($C$5*[1]Params!K8)</f>
        <v>22.255140817360662</v>
      </c>
      <c r="P6" s="28">
        <f>(O6*N6)</f>
        <v>12.181755212677913</v>
      </c>
      <c r="Q6" t="s">
        <v>11</v>
      </c>
      <c r="R6" s="23">
        <f>B5+B13+B15+B17</f>
        <v>1.2062436600000002</v>
      </c>
      <c r="S6" s="28">
        <f>(T6/R6)</f>
        <v>19.540109334129056</v>
      </c>
      <c r="T6" s="28">
        <f>D5-(-B13-B15)*15.13+B17*15.25</f>
        <v>23.570132999999998</v>
      </c>
      <c r="U6" t="s">
        <v>15</v>
      </c>
    </row>
    <row r="7" spans="2:22">
      <c r="B7" s="23">
        <v>-7.17E-2</v>
      </c>
      <c r="C7" s="28">
        <f t="shared" ref="C7:C17" si="0">(D7/B7)</f>
        <v>15.79</v>
      </c>
      <c r="D7" s="28">
        <v>-1.1321429999999999</v>
      </c>
      <c r="N7" s="23">
        <f>-B15</f>
        <v>0.49669999999999997</v>
      </c>
      <c r="O7" s="28">
        <f>P7/N7</f>
        <v>24.414971270384541</v>
      </c>
      <c r="P7" s="28">
        <f>-D15</f>
        <v>12.126916230000001</v>
      </c>
      <c r="Q7" t="s">
        <v>11</v>
      </c>
      <c r="R7" s="23">
        <f>(B7+B11+B8+B9)</f>
        <v>3.2297079999999992E-2</v>
      </c>
      <c r="S7" s="28">
        <v>0</v>
      </c>
      <c r="T7" s="28">
        <f>D7+D11+D8+D9</f>
        <v>-0.2036548899999997</v>
      </c>
      <c r="U7" t="s">
        <v>79</v>
      </c>
      <c r="V7" s="29">
        <f>-T7+R7*J3</f>
        <v>1.5914882827064443</v>
      </c>
    </row>
    <row r="8" spans="2:22">
      <c r="B8">
        <v>-0.114356</v>
      </c>
      <c r="C8" s="28">
        <f t="shared" si="0"/>
        <v>20.563082741613908</v>
      </c>
      <c r="D8" s="28">
        <v>-2.3515118899999998</v>
      </c>
      <c r="N8" s="23">
        <f>-B17</f>
        <v>0.50490000000000002</v>
      </c>
      <c r="O8" s="28">
        <f>P8/N8</f>
        <v>36.170612913448203</v>
      </c>
      <c r="P8" s="28">
        <f>-D17</f>
        <v>18.262542459999999</v>
      </c>
      <c r="Q8" t="s">
        <v>11</v>
      </c>
      <c r="R8" s="23">
        <f>(B10)+B12+B14+B16</f>
        <v>0.34746742999999991</v>
      </c>
      <c r="S8" s="28">
        <f>(T8/R8)</f>
        <v>18.756074490204739</v>
      </c>
      <c r="T8" s="28">
        <f>(D10)-(-B12-B14-B16)*14.31</f>
        <v>6.5171249999999992</v>
      </c>
      <c r="U8" t="str">
        <f>E10</f>
        <v>DCA4</v>
      </c>
    </row>
    <row r="9" spans="2:22">
      <c r="B9" s="23">
        <v>0.12727869999999999</v>
      </c>
      <c r="C9" s="28">
        <f t="shared" si="0"/>
        <v>17.442038612902241</v>
      </c>
      <c r="D9" s="28">
        <v>2.2200000000000002</v>
      </c>
      <c r="N9" s="23">
        <f>4*($B$5+$R$7+R5)/5-N6-N7-N8</f>
        <v>0.65397895600000056</v>
      </c>
      <c r="O9" s="28">
        <f>($S$6*[1]Params!K11)</f>
        <v>97.700546670645281</v>
      </c>
      <c r="P9" s="28">
        <f>(O9*N9)</f>
        <v>63.894101512297929</v>
      </c>
      <c r="R9" s="23">
        <f t="shared" ref="R9:R14" si="1">B12-B12</f>
        <v>0</v>
      </c>
      <c r="S9" s="29">
        <v>0</v>
      </c>
      <c r="T9" s="29">
        <f>D12-B12*14.31</f>
        <v>-0.58156317999999962</v>
      </c>
    </row>
    <row r="10" spans="2:22">
      <c r="B10" s="23">
        <v>0.75996743</v>
      </c>
      <c r="C10" s="28">
        <f t="shared" si="0"/>
        <v>16.342805638394267</v>
      </c>
      <c r="D10" s="28">
        <v>12.42</v>
      </c>
      <c r="E10" t="s">
        <v>80</v>
      </c>
      <c r="R10" s="23">
        <f t="shared" si="1"/>
        <v>0</v>
      </c>
      <c r="S10" s="29">
        <v>0</v>
      </c>
      <c r="T10" s="29">
        <f>D13-B13*15.13</f>
        <v>-3.3300066700000004</v>
      </c>
    </row>
    <row r="11" spans="2:22">
      <c r="B11" s="23">
        <v>9.1074379999999996E-2</v>
      </c>
      <c r="C11" s="28">
        <f t="shared" si="0"/>
        <v>11.638838496622212</v>
      </c>
      <c r="D11" s="28">
        <v>1.06</v>
      </c>
      <c r="P11" s="28">
        <f>(SUM(P6:P9))</f>
        <v>106.46531541497583</v>
      </c>
      <c r="R11" s="23">
        <f t="shared" si="1"/>
        <v>0</v>
      </c>
      <c r="S11" s="29">
        <v>0</v>
      </c>
      <c r="T11" s="29">
        <f>D14-B14*14.31</f>
        <v>-1.1646581099999997</v>
      </c>
    </row>
    <row r="12" spans="2:22">
      <c r="B12" s="23">
        <v>-0.13750000000000001</v>
      </c>
      <c r="C12" s="28">
        <f t="shared" si="0"/>
        <v>18.539550399999996</v>
      </c>
      <c r="D12" s="28">
        <v>-2.5491881799999998</v>
      </c>
      <c r="P12" s="28"/>
      <c r="R12" s="23">
        <f t="shared" si="1"/>
        <v>0</v>
      </c>
      <c r="S12" s="29">
        <v>0</v>
      </c>
      <c r="T12" s="29">
        <f>D15-B15*15.13</f>
        <v>-4.611845230000001</v>
      </c>
    </row>
    <row r="13" spans="2:22">
      <c r="B13" s="23">
        <v>-0.49669999999999997</v>
      </c>
      <c r="C13" s="28">
        <f t="shared" si="0"/>
        <v>21.834261465673446</v>
      </c>
      <c r="D13" s="28">
        <v>-10.84507767</v>
      </c>
      <c r="M13" t="s">
        <v>80</v>
      </c>
      <c r="N13" t="s">
        <v>30</v>
      </c>
      <c r="O13" t="s">
        <v>1</v>
      </c>
      <c r="P13" t="s">
        <v>2</v>
      </c>
      <c r="R13" s="23">
        <f t="shared" si="1"/>
        <v>0</v>
      </c>
      <c r="S13" s="29">
        <v>0</v>
      </c>
      <c r="T13" s="29">
        <f>D16-B16*14.31</f>
        <v>-2.4447861399999997</v>
      </c>
    </row>
    <row r="14" spans="2:22">
      <c r="B14" s="23">
        <v>-0.13700000000000001</v>
      </c>
      <c r="C14" s="28">
        <f t="shared" si="0"/>
        <v>22.811154087591238</v>
      </c>
      <c r="D14" s="28">
        <f>-3.12512811</f>
        <v>-3.1251281099999999</v>
      </c>
      <c r="M14" t="s">
        <v>10</v>
      </c>
      <c r="N14" s="23">
        <f>-B12</f>
        <v>0.13750000000000001</v>
      </c>
      <c r="O14" s="28">
        <f>18.6</f>
        <v>18.600000000000001</v>
      </c>
      <c r="P14" s="28">
        <f>-D12</f>
        <v>2.5491881799999998</v>
      </c>
      <c r="Q14" t="s">
        <v>11</v>
      </c>
      <c r="R14" s="23">
        <f t="shared" si="1"/>
        <v>0</v>
      </c>
      <c r="T14" s="29">
        <f>D17-B17*15.25</f>
        <v>-10.562817459999998</v>
      </c>
    </row>
    <row r="15" spans="2:22">
      <c r="B15" s="23">
        <v>-0.49669999999999997</v>
      </c>
      <c r="C15" s="28">
        <f t="shared" si="0"/>
        <v>24.414971270384541</v>
      </c>
      <c r="D15" s="28">
        <v>-12.126916230000001</v>
      </c>
      <c r="N15" s="23">
        <f>-B14</f>
        <v>0.13700000000000001</v>
      </c>
      <c r="O15" s="28">
        <f>C14</f>
        <v>22.811154087591238</v>
      </c>
      <c r="P15" s="28">
        <f>-D14</f>
        <v>3.1251281099999999</v>
      </c>
      <c r="Q15" t="s">
        <v>11</v>
      </c>
    </row>
    <row r="16" spans="2:22">
      <c r="B16" s="23">
        <v>-0.13800000000000001</v>
      </c>
      <c r="C16" s="28">
        <f t="shared" si="0"/>
        <v>32.025841594202895</v>
      </c>
      <c r="D16" s="28">
        <v>-4.4195661399999997</v>
      </c>
      <c r="N16" s="23">
        <f>-B16</f>
        <v>0.13800000000000001</v>
      </c>
      <c r="O16" s="28">
        <f>C16</f>
        <v>32.025841594202895</v>
      </c>
      <c r="P16" s="28">
        <f>-D16</f>
        <v>4.4195661399999997</v>
      </c>
      <c r="Q16" t="s">
        <v>11</v>
      </c>
    </row>
    <row r="17" spans="2:20">
      <c r="B17" s="23">
        <v>-0.50490000000000002</v>
      </c>
      <c r="C17" s="28">
        <f t="shared" si="0"/>
        <v>36.170612913448203</v>
      </c>
      <c r="D17" s="28">
        <v>-18.262542459999999</v>
      </c>
      <c r="N17" s="23">
        <f>4*($B$10)/5-N14-N15-N16</f>
        <v>0.19547394400000001</v>
      </c>
      <c r="O17" s="28">
        <f>($S$8*[1]Params!K11)</f>
        <v>93.780372451023695</v>
      </c>
      <c r="P17" s="28">
        <f>(O17*N17)</f>
        <v>18.331619272790551</v>
      </c>
    </row>
    <row r="18" spans="2:20">
      <c r="F18" t="s">
        <v>12</v>
      </c>
      <c r="G18" s="28">
        <f>(D19/B19)</f>
        <v>4.4844623298214739</v>
      </c>
    </row>
    <row r="19" spans="2:20">
      <c r="B19" s="23">
        <f>(SUM(B5:B18))</f>
        <v>1.6028513100000001</v>
      </c>
      <c r="D19" s="28">
        <f>(SUM(D5:D18))</f>
        <v>7.1879263200000025</v>
      </c>
      <c r="P19" s="28">
        <f>(SUM(P14:P17))</f>
        <v>28.425501702790552</v>
      </c>
      <c r="R19" s="23">
        <f>(SUM(R5:R18))</f>
        <v>1.6028513100000001</v>
      </c>
      <c r="T19" s="28">
        <f>(SUM(T5:T18))</f>
        <v>7.1879263200000025</v>
      </c>
    </row>
    <row r="32" spans="2:20">
      <c r="R32" s="29">
        <f>D19/B19</f>
        <v>4.4844623298214739</v>
      </c>
    </row>
  </sheetData>
  <conditionalFormatting sqref="C5 C9:C11 G18 O9 O17 S6 S8">
    <cfRule type="cellIs" dxfId="217" priority="19" operator="lessThan">
      <formula>$J$3</formula>
    </cfRule>
    <cfRule type="cellIs" dxfId="216" priority="20" operator="greaterThan">
      <formula>$J$3</formula>
    </cfRule>
  </conditionalFormatting>
  <conditionalFormatting sqref="O3">
    <cfRule type="cellIs" dxfId="215" priority="1" operator="greaterThan">
      <formula>$J$3</formula>
    </cfRule>
    <cfRule type="cellIs" dxfId="21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D15" sqref="D15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8">
        <v>409.66959168851872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(B17*J3)</f>
        <v>311.67905469730368</v>
      </c>
      <c r="K4" s="4">
        <f>(J4/D17-1)</f>
        <v>0.45269857784309631</v>
      </c>
      <c r="R4" t="s">
        <v>5</v>
      </c>
      <c r="S4" t="s">
        <v>6</v>
      </c>
      <c r="T4" t="s">
        <v>7</v>
      </c>
    </row>
    <row r="5" spans="2:21">
      <c r="B5" s="54">
        <v>2.1511999999999999E-4</v>
      </c>
      <c r="C5" s="28">
        <v>244</v>
      </c>
      <c r="D5" s="28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4">
        <f>(B5+B13+B9)</f>
        <v>2.31774E-3</v>
      </c>
      <c r="S5" s="28">
        <f>(T5/R5)</f>
        <v>249.20103203983189</v>
      </c>
      <c r="T5" s="28">
        <f>(D5+D13+D9)</f>
        <v>0.57758319999999996</v>
      </c>
    </row>
    <row r="6" spans="2:21">
      <c r="B6" s="54">
        <v>6.6478800000000001E-3</v>
      </c>
      <c r="C6" s="28">
        <v>373</v>
      </c>
      <c r="D6" s="28">
        <f>(C6*B6)</f>
        <v>2.4796592400000002</v>
      </c>
      <c r="M6" t="s">
        <v>10</v>
      </c>
      <c r="N6" s="23">
        <f>($R$8/5)</f>
        <v>0.117656468</v>
      </c>
      <c r="O6" s="28">
        <f>($S$8*[1]Params!K8)</f>
        <v>371.84696042379926</v>
      </c>
      <c r="P6" s="28">
        <f>(O6*N6)</f>
        <v>43.750200000000007</v>
      </c>
      <c r="R6" s="54">
        <f>(B6)</f>
        <v>6.6478800000000001E-3</v>
      </c>
      <c r="S6" s="28">
        <f>(C6)</f>
        <v>373</v>
      </c>
      <c r="T6" s="28">
        <f>(R6*S6)</f>
        <v>2.4796592400000002</v>
      </c>
    </row>
    <row r="7" spans="2:21">
      <c r="B7" s="54">
        <v>2.3499999999999999E-4</v>
      </c>
      <c r="C7" s="28">
        <v>0</v>
      </c>
      <c r="D7" s="28">
        <v>0</v>
      </c>
      <c r="E7" s="28">
        <f>(B7*J3)</f>
        <v>9.62723540468019E-2</v>
      </c>
      <c r="I7" t="s">
        <v>10</v>
      </c>
      <c r="J7">
        <v>1</v>
      </c>
      <c r="N7" s="23">
        <f>($R$8/5)</f>
        <v>0.117656468</v>
      </c>
      <c r="O7" s="28">
        <f>($S$8*[1]Params!K9)</f>
        <v>457.65779744467602</v>
      </c>
      <c r="P7" s="28">
        <f>(O7*N7)</f>
        <v>53.846400000000003</v>
      </c>
      <c r="R7" s="54">
        <f>(B7+B8+B10)</f>
        <v>3.1623900000000002E-3</v>
      </c>
      <c r="S7" s="28">
        <f>(C7)</f>
        <v>0</v>
      </c>
      <c r="T7" s="28">
        <f>(R7*S7)</f>
        <v>0</v>
      </c>
    </row>
    <row r="8" spans="2:21">
      <c r="B8" s="54">
        <v>9.4980000000000002E-5</v>
      </c>
      <c r="C8" s="28">
        <v>0</v>
      </c>
      <c r="D8" s="28">
        <v>0</v>
      </c>
      <c r="E8" s="28">
        <f>(B8*J3)</f>
        <v>3.8910417818575509E-2</v>
      </c>
      <c r="I8" t="s">
        <v>13</v>
      </c>
      <c r="J8" s="54">
        <f>(J7-B17)</f>
        <v>0.23919407000000015</v>
      </c>
      <c r="N8" s="23">
        <f>($R$8/5)</f>
        <v>0.117656468</v>
      </c>
      <c r="O8" s="28">
        <f>($S$8*[1]Params!K10)</f>
        <v>629.27947148642954</v>
      </c>
      <c r="P8" s="28">
        <f>(O8*N8)</f>
        <v>74.038800000000009</v>
      </c>
      <c r="R8" s="54">
        <f>(B11)</f>
        <v>0.58828234000000001</v>
      </c>
      <c r="S8" s="28">
        <f>(C11)</f>
        <v>286.0361234029225</v>
      </c>
      <c r="T8" s="28">
        <f>(R8*S8)</f>
        <v>168.27</v>
      </c>
      <c r="U8" t="s">
        <v>9</v>
      </c>
    </row>
    <row r="9" spans="2:21">
      <c r="B9" s="54">
        <v>9.0920000000000004E-5</v>
      </c>
      <c r="C9" s="28">
        <v>276</v>
      </c>
      <c r="D9" s="28">
        <f>(B9*C9)</f>
        <v>2.5093920000000002E-2</v>
      </c>
      <c r="E9" s="28"/>
      <c r="I9" t="s">
        <v>14</v>
      </c>
      <c r="J9" s="34">
        <f>(J8*J3)</f>
        <v>97.990536991215023</v>
      </c>
      <c r="N9" s="23">
        <f>($R$8/5)</f>
        <v>0.117656468</v>
      </c>
      <c r="O9" s="28">
        <f>($S$8*[1]Params!K11)</f>
        <v>1430.1806170146124</v>
      </c>
      <c r="P9" s="28">
        <f>(O9*N9)</f>
        <v>168.27</v>
      </c>
      <c r="R9" s="54">
        <f>(B12)</f>
        <v>0.15961684000000001</v>
      </c>
      <c r="S9" s="28">
        <f>(C12)</f>
        <v>290.06964428064106</v>
      </c>
      <c r="T9" s="28">
        <f>(R9*S9)</f>
        <v>46.300000000000004</v>
      </c>
      <c r="U9" t="s">
        <v>15</v>
      </c>
    </row>
    <row r="10" spans="2:21">
      <c r="B10" s="55">
        <v>2.83241E-3</v>
      </c>
      <c r="C10" s="31">
        <v>0</v>
      </c>
      <c r="D10" s="32">
        <v>0</v>
      </c>
      <c r="E10" s="28">
        <f>(B10*J3)</f>
        <v>1.1603522481944772</v>
      </c>
      <c r="P10" s="28"/>
      <c r="R10" s="54">
        <f>B14+B15</f>
        <v>7.7873999999999999E-4</v>
      </c>
      <c r="S10" s="28">
        <v>0</v>
      </c>
      <c r="T10" s="29">
        <f>D14+D15</f>
        <v>-3.0754700000000099</v>
      </c>
    </row>
    <row r="11" spans="2:21">
      <c r="B11" s="54">
        <v>0.58828234000000001</v>
      </c>
      <c r="C11" s="28">
        <f>(D11/B11)</f>
        <v>286.0361234029225</v>
      </c>
      <c r="D11" s="28">
        <v>168.27</v>
      </c>
      <c r="E11" t="s">
        <v>9</v>
      </c>
      <c r="P11" s="28">
        <f>(SUM(P6:P9))</f>
        <v>339.90539999999999</v>
      </c>
    </row>
    <row r="12" spans="2:21">
      <c r="B12" s="54">
        <v>0.15961684000000001</v>
      </c>
      <c r="C12" s="28">
        <f>(D12/B12)</f>
        <v>290.06964428064106</v>
      </c>
      <c r="D12" s="28">
        <v>46.3</v>
      </c>
      <c r="E12" t="s">
        <v>15</v>
      </c>
    </row>
    <row r="13" spans="2:21">
      <c r="B13" s="54">
        <v>2.0116999999999999E-3</v>
      </c>
      <c r="C13" s="28">
        <f>(D13/B13)</f>
        <v>248.54600586568574</v>
      </c>
      <c r="D13" s="28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4">
        <v>0.29477873999999998</v>
      </c>
      <c r="C14" s="28">
        <f>(D14/B14)</f>
        <v>233.6752643694725</v>
      </c>
      <c r="D14" s="28">
        <f>39.9285+28.954</f>
        <v>68.882499999999993</v>
      </c>
      <c r="M14" t="s">
        <v>10</v>
      </c>
      <c r="N14" s="23">
        <f>($R$9/5)</f>
        <v>3.1923368000000001E-2</v>
      </c>
      <c r="O14" s="28">
        <f>($S$9*[1]Params!K8)</f>
        <v>377.09053756483337</v>
      </c>
      <c r="P14" s="28">
        <f>(O14*N14)</f>
        <v>12.038</v>
      </c>
    </row>
    <row r="15" spans="2:21">
      <c r="B15" s="54">
        <v>-0.29399999999999998</v>
      </c>
      <c r="C15" s="28">
        <f>(D15/B15)</f>
        <v>244.75500000000002</v>
      </c>
      <c r="D15" s="28">
        <v>-71.957970000000003</v>
      </c>
      <c r="N15" s="23">
        <f>($R$9/5)</f>
        <v>3.1923368000000001E-2</v>
      </c>
      <c r="O15" s="28">
        <f>($S$9*[1]Params!K9)</f>
        <v>464.11143084902574</v>
      </c>
      <c r="P15" s="28">
        <f>(O15*N15)</f>
        <v>14.816000000000001</v>
      </c>
    </row>
    <row r="16" spans="2:21">
      <c r="N16" s="23">
        <f>($R$9/5)</f>
        <v>3.1923368000000001E-2</v>
      </c>
      <c r="O16" s="28">
        <f>($S$9*[1]Params!K10)</f>
        <v>638.15321741741036</v>
      </c>
      <c r="P16" s="28">
        <f>(O16*N16)</f>
        <v>20.372</v>
      </c>
    </row>
    <row r="17" spans="2:16">
      <c r="B17" s="54">
        <f>(SUM(B5:B16))</f>
        <v>0.76080592999999985</v>
      </c>
      <c r="D17" s="28">
        <f>(SUM(D5:D16))</f>
        <v>214.55177244000004</v>
      </c>
      <c r="F17" t="s">
        <v>12</v>
      </c>
      <c r="G17" s="28">
        <f>(SUM(D5:D16)/SUM(B5:B16))</f>
        <v>282.00591501698744</v>
      </c>
      <c r="N17" s="23">
        <f>($R$9/5)</f>
        <v>3.1923368000000001E-2</v>
      </c>
      <c r="O17" s="28">
        <f>($S$9*[1]Params!K11)</f>
        <v>1450.3482214032053</v>
      </c>
      <c r="P17" s="28">
        <f>(O17*N17)</f>
        <v>46.300000000000004</v>
      </c>
    </row>
    <row r="18" spans="2:16">
      <c r="P18" s="28"/>
    </row>
    <row r="19" spans="2:16">
      <c r="P19" s="28">
        <f>(SUM(P14:P17))</f>
        <v>93.52600000000001</v>
      </c>
    </row>
    <row r="22" spans="2:16">
      <c r="N22" s="23"/>
      <c r="O22" s="28"/>
      <c r="P22" s="28"/>
    </row>
    <row r="23" spans="2:16">
      <c r="N23" s="23"/>
      <c r="O23" s="28"/>
      <c r="P23" s="28"/>
    </row>
    <row r="24" spans="2:16">
      <c r="N24" s="23"/>
      <c r="O24" s="28"/>
      <c r="P24" s="28"/>
    </row>
    <row r="25" spans="2:16">
      <c r="N25" s="23"/>
      <c r="O25" s="28"/>
      <c r="P25" s="28"/>
    </row>
    <row r="26" spans="2:16">
      <c r="P26" s="28"/>
    </row>
    <row r="27" spans="2:16">
      <c r="P27" s="28"/>
    </row>
    <row r="37" spans="18:20">
      <c r="R37" s="54">
        <f>(SUM(R5:R27))</f>
        <v>0.76080592999999996</v>
      </c>
      <c r="T37" s="28">
        <f>(SUM(T5:T27))</f>
        <v>214.55177244000004</v>
      </c>
    </row>
  </sheetData>
  <conditionalFormatting sqref="C5:C6 C9 C11:C14 O6:O9 O14 S5:S6 S8:S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15:O17">
    <cfRule type="cellIs" dxfId="211" priority="7" operator="lessThan">
      <formula>$J$3</formula>
    </cfRule>
    <cfRule type="cellIs" dxfId="210" priority="8" operator="greaterThan">
      <formula>$J$3</formula>
    </cfRule>
  </conditionalFormatting>
  <conditionalFormatting sqref="G17">
    <cfRule type="cellIs" dxfId="209" priority="1" operator="lessThan">
      <formula>$J$3</formula>
    </cfRule>
    <cfRule type="cellIs" dxfId="208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T12" sqref="T12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56">
        <v>0.14209174986393661</v>
      </c>
      <c r="M3" t="s">
        <v>4</v>
      </c>
      <c r="N3" s="39">
        <f>(INDEX(N5:N17,MATCH(MAX(O6:O7),O5:O17,0))/0.85)</f>
        <v>14.450393522352941</v>
      </c>
      <c r="O3" s="57">
        <f>(MAX(O6:O7)*0.75)</f>
        <v>9.8168955280311929E-2</v>
      </c>
      <c r="P3" s="28">
        <f>(O3*N3)</f>
        <v>1.418580035478775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8">
        <f>(B13*J3)</f>
        <v>5.2451993610414549</v>
      </c>
      <c r="K4" s="4">
        <f>(J4/D13-1)</f>
        <v>2.4471164002546457</v>
      </c>
    </row>
    <row r="5" spans="2:17">
      <c r="B5" s="39">
        <v>61.119118389999997</v>
      </c>
      <c r="C5" s="49">
        <f>(D5/B5)</f>
        <v>8.1807462733593267E-2</v>
      </c>
      <c r="D5" s="28">
        <v>5</v>
      </c>
      <c r="N5" t="s">
        <v>30</v>
      </c>
      <c r="O5" t="s">
        <v>1</v>
      </c>
      <c r="P5" t="s">
        <v>2</v>
      </c>
    </row>
    <row r="6" spans="2:17">
      <c r="B6" s="51">
        <v>0.29505408</v>
      </c>
      <c r="C6" s="31">
        <v>0</v>
      </c>
      <c r="D6" s="32">
        <f>(B6*C6)</f>
        <v>0</v>
      </c>
      <c r="E6" s="28">
        <f>(B6*J3)</f>
        <v>4.1924750531693943E-2</v>
      </c>
      <c r="M6" t="s">
        <v>10</v>
      </c>
      <c r="N6" s="39">
        <f>($B$13-$B$7)/5</f>
        <v>12.282834493999999</v>
      </c>
      <c r="O6" s="56">
        <f>($C$5*[1]Params!K8)</f>
        <v>0.10634970155367125</v>
      </c>
      <c r="P6" s="28">
        <f>(O6*N6)</f>
        <v>1.3062757826700386</v>
      </c>
      <c r="Q6" t="s">
        <v>11</v>
      </c>
    </row>
    <row r="7" spans="2:17">
      <c r="B7" s="39">
        <v>-24.5</v>
      </c>
      <c r="C7" s="49">
        <f>D7/B7</f>
        <v>0.14197471632653061</v>
      </c>
      <c r="D7" s="28">
        <v>-3.4783805499999998</v>
      </c>
      <c r="N7" s="39">
        <f>($B$13-$B$7)/5</f>
        <v>12.282834493999999</v>
      </c>
      <c r="O7" s="56">
        <f>($C$5*[1]Params!K9)</f>
        <v>0.13089194037374924</v>
      </c>
      <c r="P7" s="28">
        <f>(O7*N7)</f>
        <v>1.6077240402092783</v>
      </c>
      <c r="Q7" t="s">
        <v>11</v>
      </c>
    </row>
    <row r="8" spans="2:17">
      <c r="N8" s="39">
        <f>($B$13/3)</f>
        <v>12.304724156666666</v>
      </c>
      <c r="O8" s="56">
        <f>($C$5*[1]Params!K10)</f>
        <v>0.17997641801390521</v>
      </c>
      <c r="P8" s="28">
        <f>(O8*N8)</f>
        <v>2.2145601783660371</v>
      </c>
    </row>
    <row r="9" spans="2:17">
      <c r="N9" s="39">
        <f>($B$13/3)</f>
        <v>12.304724156666666</v>
      </c>
      <c r="O9" s="56">
        <f>($C$5*[1]Params!K11)</f>
        <v>0.40903731366796636</v>
      </c>
      <c r="P9" s="28">
        <f>(O9*N9)</f>
        <v>5.0330913144682654</v>
      </c>
    </row>
    <row r="11" spans="2:17">
      <c r="P11" s="28">
        <f>(SUM(P6:P9))</f>
        <v>10.16165131571362</v>
      </c>
    </row>
    <row r="12" spans="2:17">
      <c r="F12" t="s">
        <v>12</v>
      </c>
      <c r="G12" s="28">
        <f>(D13/B13)</f>
        <v>4.1220467592402735E-2</v>
      </c>
    </row>
    <row r="13" spans="2:17">
      <c r="B13" s="39">
        <f>(SUM(B5:B12))</f>
        <v>36.914172469999997</v>
      </c>
      <c r="D13" s="28">
        <f>(SUM(D5:D12))</f>
        <v>1.5216194500000002</v>
      </c>
    </row>
  </sheetData>
  <conditionalFormatting sqref="O8:O9">
    <cfRule type="cellIs" dxfId="207" priority="7" operator="lessThan">
      <formula>$J$3</formula>
    </cfRule>
    <cfRule type="cellIs" dxfId="206" priority="8" operator="greaterThan">
      <formula>$J$3</formula>
    </cfRule>
  </conditionalFormatting>
  <conditionalFormatting sqref="C5">
    <cfRule type="cellIs" dxfId="205" priority="5" operator="lessThan">
      <formula>$J$3</formula>
    </cfRule>
    <cfRule type="cellIs" dxfId="204" priority="6" operator="greaterThan">
      <formula>$J$3</formula>
    </cfRule>
  </conditionalFormatting>
  <conditionalFormatting sqref="G12">
    <cfRule type="cellIs" dxfId="203" priority="3" operator="lessThan">
      <formula>$J$3</formula>
    </cfRule>
    <cfRule type="cellIs" dxfId="202" priority="4" operator="greaterThan">
      <formula>$J$3</formula>
    </cfRule>
  </conditionalFormatting>
  <conditionalFormatting sqref="O3">
    <cfRule type="cellIs" dxfId="201" priority="1" operator="greaterThan">
      <formula>$J$3</formula>
    </cfRule>
    <cfRule type="cellIs" dxfId="200" priority="2" operator="less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" sqref="M2:P3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9.2584348831447176</v>
      </c>
      <c r="M3" t="s">
        <v>4</v>
      </c>
      <c r="N3" s="23">
        <f>(INDEX(N5:N17,MATCH(MAX(O6),O5:O17,0))/0.85)</f>
        <v>1.6154117647058823</v>
      </c>
      <c r="O3" s="29">
        <f>(MAX(O6)*0.75)</f>
        <v>5.4043818112300634</v>
      </c>
      <c r="P3" s="49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(B15*J3)</f>
        <v>64.348306687813434</v>
      </c>
      <c r="K4" s="4">
        <f>(J4/D15-1)</f>
        <v>0.8092475871688678</v>
      </c>
      <c r="R4" t="s">
        <v>5</v>
      </c>
      <c r="S4" t="s">
        <v>6</v>
      </c>
      <c r="T4" t="s">
        <v>7</v>
      </c>
    </row>
    <row r="5" spans="2:21">
      <c r="B5" s="23">
        <v>7.9840675499999998</v>
      </c>
      <c r="C5" s="28">
        <f>(D5/B5)</f>
        <v>5.799049132543975</v>
      </c>
      <c r="D5" s="28">
        <v>46.3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8.1486920000000004E-2</v>
      </c>
      <c r="S5" s="31">
        <v>0</v>
      </c>
      <c r="T5" s="32">
        <f>(D6)</f>
        <v>0</v>
      </c>
      <c r="U5">
        <f>(R5*J3)</f>
        <v>0.75444134264802298</v>
      </c>
    </row>
    <row r="6" spans="2:21">
      <c r="B6" s="24">
        <v>8.1486920000000004E-2</v>
      </c>
      <c r="C6" s="31">
        <v>0</v>
      </c>
      <c r="D6" s="32">
        <f>(B6*C6)</f>
        <v>0</v>
      </c>
      <c r="E6" s="28">
        <f>(B6*J3)</f>
        <v>0.75444134264802298</v>
      </c>
      <c r="M6" t="s">
        <v>10</v>
      </c>
      <c r="N6" s="23">
        <f>-B11</f>
        <v>1.3731</v>
      </c>
      <c r="O6" s="28">
        <f>C11</f>
        <v>7.2058424149734179</v>
      </c>
      <c r="P6" s="28">
        <f>-D11</f>
        <v>9.8943422200000004</v>
      </c>
      <c r="Q6" t="s">
        <v>11</v>
      </c>
      <c r="R6" s="23">
        <f>B5+B11</f>
        <v>6.6109675499999998</v>
      </c>
      <c r="S6" s="28">
        <f>(T6/R6)</f>
        <v>5.8528537173049653</v>
      </c>
      <c r="T6" s="28">
        <f>D5+B11*5.54</f>
        <v>38.693025999999996</v>
      </c>
      <c r="U6" t="s">
        <v>15</v>
      </c>
    </row>
    <row r="7" spans="2:21">
      <c r="B7" s="23">
        <v>0.11156135</v>
      </c>
      <c r="C7" s="28">
        <f>(D7/B7)</f>
        <v>4.4818389164347687</v>
      </c>
      <c r="D7" s="28">
        <v>0.5</v>
      </c>
      <c r="N7" s="23">
        <f>2*($B$15+$N$6)/5-$N$6</f>
        <v>1.9562343680000005</v>
      </c>
      <c r="O7" s="28">
        <f>($C$5*[1]Params!K9)</f>
        <v>9.2784786120703604</v>
      </c>
      <c r="P7" s="28">
        <f>(O7*N7)</f>
        <v>18.150878743684984</v>
      </c>
      <c r="R7" s="23">
        <f>B7</f>
        <v>0.11156135</v>
      </c>
      <c r="S7" s="28">
        <f>(T7/R7)</f>
        <v>4.4818389164347687</v>
      </c>
      <c r="T7" s="29">
        <f>D7</f>
        <v>0.5</v>
      </c>
    </row>
    <row r="8" spans="2:21">
      <c r="B8" s="23">
        <f>(-0.2134+N16)</f>
        <v>-0.21340000000000001</v>
      </c>
      <c r="C8" s="28">
        <f>(D8/B8)</f>
        <v>5.3527599426527646</v>
      </c>
      <c r="D8" s="28">
        <f>(-1.27565659-D9)</f>
        <v>-1.1422789717621</v>
      </c>
      <c r="N8" s="23">
        <f>2*($B$15+$N$6)/5-$N$6</f>
        <v>1.9562343680000005</v>
      </c>
      <c r="O8" s="28">
        <f>($C$5*[1]Params!K10)</f>
        <v>12.757908091596747</v>
      </c>
      <c r="P8" s="28">
        <f>(O8*N8)</f>
        <v>24.957458272566853</v>
      </c>
      <c r="R8" s="23">
        <f>SUM(B8:B10)+B13+B12</f>
        <v>0.14622009999999985</v>
      </c>
      <c r="S8" s="28">
        <f>(T8/R8)</f>
        <v>-9.159631815324996</v>
      </c>
      <c r="T8" s="28">
        <f>SUM(D8:D10)+D12+D13</f>
        <v>-1.3393222800000011</v>
      </c>
    </row>
    <row r="9" spans="2:21">
      <c r="B9">
        <f>-B7/5</f>
        <v>-2.2312270000000002E-2</v>
      </c>
      <c r="C9" s="28">
        <v>5.9777699999999996</v>
      </c>
      <c r="D9" s="28">
        <f>(C9*B9)</f>
        <v>-0.13337761823790001</v>
      </c>
      <c r="N9" s="23">
        <f>2*($B$15+$N$6)/5-$N$6</f>
        <v>1.9562343680000005</v>
      </c>
      <c r="O9" s="28">
        <f>($C$5*[1]Params!K11)</f>
        <v>28.995245662719874</v>
      </c>
      <c r="P9" s="28">
        <f>(O9*N9)</f>
        <v>56.721496074015569</v>
      </c>
      <c r="R9" s="23">
        <f>B11-B11</f>
        <v>0</v>
      </c>
      <c r="S9" s="28">
        <v>0</v>
      </c>
      <c r="T9" s="29">
        <f>D11-B11*5.54</f>
        <v>-2.2873682200000003</v>
      </c>
    </row>
    <row r="10" spans="2:21">
      <c r="B10" s="23">
        <v>0.21193237000000001</v>
      </c>
      <c r="C10" s="28">
        <f>D10/B10</f>
        <v>5.0487804199047082</v>
      </c>
      <c r="D10" s="28">
        <v>1.07</v>
      </c>
      <c r="N10" s="23"/>
      <c r="P10" s="28"/>
      <c r="R10" s="23"/>
      <c r="S10" s="28"/>
      <c r="T10" s="29"/>
    </row>
    <row r="11" spans="2:21">
      <c r="B11" s="23">
        <v>-1.3731</v>
      </c>
      <c r="C11" s="28">
        <f>(D11/B11)</f>
        <v>7.2058424149734179</v>
      </c>
      <c r="D11" s="28">
        <f>-9.89434222</f>
        <v>-9.8943422200000004</v>
      </c>
      <c r="N11" s="23"/>
      <c r="P11" s="28"/>
    </row>
    <row r="12" spans="2:21">
      <c r="B12" s="23">
        <v>-1.53</v>
      </c>
      <c r="C12" s="28">
        <f>(D12/B12)</f>
        <v>9.0102145686274504</v>
      </c>
      <c r="D12" s="28">
        <v>-13.78562829</v>
      </c>
      <c r="N12" s="23"/>
      <c r="P12" s="28">
        <f>(SUM(P6:P9))</f>
        <v>109.72417531026741</v>
      </c>
    </row>
    <row r="13" spans="2:21">
      <c r="B13" s="23">
        <v>1.7</v>
      </c>
      <c r="C13" s="28">
        <f>(D13/B13)</f>
        <v>7.4423309411764702</v>
      </c>
      <c r="D13" s="28">
        <v>12.651962599999999</v>
      </c>
      <c r="N13" s="23"/>
      <c r="P13" s="28"/>
    </row>
    <row r="14" spans="2:21">
      <c r="F14" t="s">
        <v>12</v>
      </c>
      <c r="G14" s="28">
        <f>(D15/B15)</f>
        <v>5.1172846374400462</v>
      </c>
      <c r="N14" s="23"/>
      <c r="P14" s="28"/>
      <c r="R14" s="23">
        <f>(SUM(R5:R12))</f>
        <v>6.950235919999999</v>
      </c>
      <c r="T14" s="28">
        <f>(SUM(T5:T12))</f>
        <v>35.566335500000001</v>
      </c>
    </row>
    <row r="15" spans="2:21">
      <c r="B15">
        <f>(SUM(B5:B14))</f>
        <v>6.9502359200000017</v>
      </c>
      <c r="D15" s="28">
        <f>(SUM(D5:D14))</f>
        <v>35.566335499999994</v>
      </c>
    </row>
    <row r="16" spans="2:21">
      <c r="N16" s="23"/>
      <c r="O16" s="28"/>
      <c r="P16" s="28"/>
    </row>
    <row r="17" spans="7:16">
      <c r="N17" s="23"/>
      <c r="O17" s="28"/>
      <c r="P17" s="28"/>
    </row>
    <row r="18" spans="7:16">
      <c r="N18" s="23"/>
      <c r="O18" s="28"/>
      <c r="P18" s="28"/>
    </row>
    <row r="19" spans="7:16">
      <c r="N19" s="23"/>
      <c r="O19" s="28"/>
      <c r="P19" s="28"/>
    </row>
    <row r="20" spans="7:16">
      <c r="P20" s="28"/>
    </row>
    <row r="21" spans="7:16">
      <c r="P21" s="28"/>
    </row>
    <row r="22" spans="7:16">
      <c r="P22" s="28"/>
    </row>
    <row r="28" spans="7:16">
      <c r="G28" s="29"/>
    </row>
  </sheetData>
  <conditionalFormatting sqref="C5 C7 C10 G14 O7:O9 S6:S7">
    <cfRule type="cellIs" dxfId="199" priority="19" operator="lessThan">
      <formula>$J$3</formula>
    </cfRule>
    <cfRule type="cellIs" dxfId="198" priority="20" operator="greaterThan">
      <formula>$J$3</formula>
    </cfRule>
  </conditionalFormatting>
  <conditionalFormatting sqref="O3">
    <cfRule type="cellIs" dxfId="197" priority="3" operator="greaterThan">
      <formula>$J$3</formula>
    </cfRule>
    <cfRule type="cellIs" dxfId="196" priority="4" operator="lessThan">
      <formula>$J$3</formula>
    </cfRule>
  </conditionalFormatting>
  <conditionalFormatting sqref="C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8">
        <v>64.997373683262964</v>
      </c>
      <c r="M3" t="s">
        <v>4</v>
      </c>
      <c r="N3" s="23">
        <f>(INDEX(N5:N16,MATCH(MAX(O6),O5:O16,0))/0.85)</f>
        <v>2.9117647058823533E-2</v>
      </c>
      <c r="O3" s="29">
        <f>(MAX(O6)*0.75)</f>
        <v>43.077097272727272</v>
      </c>
      <c r="P3" s="49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(B13*J3)</f>
        <v>6.7694543700047856</v>
      </c>
      <c r="K4" s="4">
        <f>(J4/D13-1)</f>
        <v>0.7888119975394281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8">
        <v>43.03</v>
      </c>
      <c r="D5" s="28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8">
        <f>(T5/R5)</f>
        <v>43.029377397181094</v>
      </c>
      <c r="T5" s="28">
        <f>(D5)</f>
        <v>5.2</v>
      </c>
    </row>
    <row r="6" spans="2:20">
      <c r="B6" s="24">
        <v>3.0086399999999999E-3</v>
      </c>
      <c r="C6" s="31">
        <v>0</v>
      </c>
      <c r="D6" s="32">
        <f>(B6*C6)</f>
        <v>0</v>
      </c>
      <c r="E6" s="28">
        <f>(B6*J3)</f>
        <v>0.19555369835841227</v>
      </c>
      <c r="M6" t="s">
        <v>10</v>
      </c>
      <c r="N6" s="23">
        <f>-B7</f>
        <v>2.4750000000000001E-2</v>
      </c>
      <c r="O6" s="28">
        <f>P6/N6</f>
        <v>57.436129696969694</v>
      </c>
      <c r="P6" s="28">
        <f>-D7</f>
        <v>1.42154421</v>
      </c>
      <c r="Q6" t="s">
        <v>11</v>
      </c>
      <c r="R6" s="2">
        <f>(B6)</f>
        <v>3.0086399999999999E-3</v>
      </c>
      <c r="S6" s="31">
        <f>(T6/R6)</f>
        <v>0</v>
      </c>
      <c r="T6" s="32">
        <f>(D6)</f>
        <v>0</v>
      </c>
    </row>
    <row r="7" spans="2:20">
      <c r="B7">
        <v>-2.4750000000000001E-2</v>
      </c>
      <c r="C7" s="28">
        <f>D7/B7</f>
        <v>57.436129696969694</v>
      </c>
      <c r="D7" s="28">
        <f>-1.42154421</f>
        <v>-1.42154421</v>
      </c>
      <c r="N7" s="23">
        <f>2*($B$13-$B$7)/5+$B$7</f>
        <v>2.6809863999999996E-2</v>
      </c>
      <c r="O7" s="28">
        <f>($C$5*[1]Params!K9)</f>
        <v>68.847999999999999</v>
      </c>
      <c r="P7" s="28">
        <f>(O7*N7)</f>
        <v>1.8458055166719998</v>
      </c>
      <c r="R7" s="1">
        <f>B7</f>
        <v>-2.4750000000000001E-2</v>
      </c>
      <c r="S7" s="28">
        <v>0</v>
      </c>
      <c r="T7" s="28">
        <f>(D7)</f>
        <v>-1.42154421</v>
      </c>
    </row>
    <row r="8" spans="2:20">
      <c r="B8" s="23">
        <f>-0.0247</f>
        <v>-2.47E-2</v>
      </c>
      <c r="C8" s="28">
        <f>D8/B8</f>
        <v>68.849477327935219</v>
      </c>
      <c r="D8" s="28">
        <v>-1.7005820899999999</v>
      </c>
      <c r="N8" s="23">
        <f>2*($B$13-$B$7)/5+$B$7</f>
        <v>2.6809863999999996E-2</v>
      </c>
      <c r="O8" s="28">
        <f>($C$5*[1]Params!K10)</f>
        <v>94.666000000000011</v>
      </c>
      <c r="P8" s="28">
        <f>(O8*N8)</f>
        <v>2.5379825854239999</v>
      </c>
      <c r="R8" s="1">
        <f>(B8)+B9</f>
        <v>5.043350000000002E-3</v>
      </c>
      <c r="S8" s="28">
        <v>0</v>
      </c>
      <c r="T8" s="28">
        <f>(D8)+D9</f>
        <v>5.8739100000000377E-3</v>
      </c>
    </row>
    <row r="9" spans="2:20">
      <c r="B9" s="23">
        <f>0.02974335</f>
        <v>2.9743350000000002E-2</v>
      </c>
      <c r="C9" s="28">
        <f>D9/B9</f>
        <v>57.372690029872217</v>
      </c>
      <c r="D9" s="28">
        <v>1.706456</v>
      </c>
      <c r="N9" s="23">
        <f>2*($B$13-$B$7)/5+$B$7</f>
        <v>2.6809863999999996E-2</v>
      </c>
      <c r="O9" s="28">
        <f>($C$5*[1]Params!K11)</f>
        <v>215.15</v>
      </c>
      <c r="P9" s="28">
        <f>(O9*N9)</f>
        <v>5.7681422395999995</v>
      </c>
      <c r="R9" s="1"/>
      <c r="S9" s="28"/>
      <c r="T9" s="28"/>
    </row>
    <row r="10" spans="2:20">
      <c r="R10" s="1"/>
      <c r="S10" s="28"/>
      <c r="T10" s="28"/>
    </row>
    <row r="11" spans="2:20">
      <c r="P11" s="28">
        <f>(SUM(P6:P9))</f>
        <v>11.573474551695998</v>
      </c>
      <c r="R11" s="1"/>
      <c r="S11" s="28"/>
      <c r="T11" s="29"/>
    </row>
    <row r="12" spans="2:20">
      <c r="F12" t="s">
        <v>12</v>
      </c>
      <c r="G12" s="28">
        <f>(D13/B13)</f>
        <v>36.335497398647298</v>
      </c>
    </row>
    <row r="13" spans="2:20">
      <c r="B13">
        <f>(SUM(B5:B12))</f>
        <v>0.10414966000000001</v>
      </c>
      <c r="D13" s="28">
        <f>(SUM(D5:D12))</f>
        <v>3.7843297000000007</v>
      </c>
    </row>
    <row r="22" spans="18:20">
      <c r="R22">
        <f>(SUM(R5:R21))</f>
        <v>0.10414966000000001</v>
      </c>
      <c r="T22" s="28">
        <f>(SUM(T5:T21))</f>
        <v>3.7843297000000002</v>
      </c>
    </row>
  </sheetData>
  <conditionalFormatting sqref="C5">
    <cfRule type="cellIs" dxfId="193" priority="13" operator="lessThan">
      <formula>$J$3</formula>
    </cfRule>
    <cfRule type="cellIs" dxfId="192" priority="14" operator="greaterThan">
      <formula>$J$3</formula>
    </cfRule>
  </conditionalFormatting>
  <conditionalFormatting sqref="O7:O9">
    <cfRule type="cellIs" dxfId="191" priority="11" operator="lessThan">
      <formula>$J$3</formula>
    </cfRule>
    <cfRule type="cellIs" dxfId="190" priority="12" operator="greaterThan">
      <formula>$J$3</formula>
    </cfRule>
  </conditionalFormatting>
  <conditionalFormatting sqref="G12">
    <cfRule type="cellIs" dxfId="189" priority="9" operator="lessThan">
      <formula>$J$3</formula>
    </cfRule>
    <cfRule type="cellIs" dxfId="188" priority="10" operator="greaterThan">
      <formula>$J$3</formula>
    </cfRule>
  </conditionalFormatting>
  <conditionalFormatting sqref="O3">
    <cfRule type="cellIs" dxfId="187" priority="5" operator="greaterThan">
      <formula>$J$3</formula>
    </cfRule>
    <cfRule type="cellIs" dxfId="186" priority="6" operator="lessThan">
      <formula>$J$3</formula>
    </cfRule>
  </conditionalFormatting>
  <conditionalFormatting sqref="S5">
    <cfRule type="cellIs" dxfId="185" priority="3" operator="lessThan">
      <formula>$J$3</formula>
    </cfRule>
    <cfRule type="cellIs" dxfId="184" priority="4" operator="greaterThan">
      <formula>$J$3</formula>
    </cfRule>
  </conditionalFormatting>
  <conditionalFormatting sqref="C9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tabSelected="1" workbookViewId="0">
      <selection activeCell="N15" sqref="N1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9">
        <v>0.31954282892221819</v>
      </c>
      <c r="M3" t="s">
        <v>4</v>
      </c>
      <c r="N3" s="39">
        <f>(INDEX(N5:N29,MATCH(MAX(O6:O8),O5:O29,0))/0.85)</f>
        <v>18.528963141176472</v>
      </c>
      <c r="O3" s="58">
        <f>(MAX(O6:O8)*0.75)</f>
        <v>0.10405335099087169</v>
      </c>
      <c r="P3" s="28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(B14*J3)</f>
        <v>8.6076297754365552</v>
      </c>
      <c r="K4" s="4">
        <f>(J4/D14-1)</f>
        <v>-14.175151916336263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9">
        <f t="shared" ref="C5:C10" si="0">(D5/B5)</f>
        <v>6.3062636964164656E-2</v>
      </c>
      <c r="D5" s="28">
        <v>4</v>
      </c>
      <c r="E5" t="s">
        <v>78</v>
      </c>
      <c r="N5" t="s">
        <v>30</v>
      </c>
      <c r="O5" t="s">
        <v>1</v>
      </c>
      <c r="P5" t="s">
        <v>2</v>
      </c>
      <c r="R5" s="39">
        <f>(B5)</f>
        <v>63.429000000000002</v>
      </c>
      <c r="S5" s="28">
        <f>(C5)</f>
        <v>6.3062636964164656E-2</v>
      </c>
      <c r="T5" s="28">
        <f>(R5*S5)</f>
        <v>4</v>
      </c>
    </row>
    <row r="6" spans="2:20">
      <c r="B6" s="18">
        <v>-12.25728155</v>
      </c>
      <c r="C6" s="49">
        <f t="shared" si="0"/>
        <v>8.0228066556894906E-2</v>
      </c>
      <c r="D6" s="28">
        <v>-0.98337799999999997</v>
      </c>
      <c r="M6" t="s">
        <v>10</v>
      </c>
      <c r="N6" s="39">
        <f>(-B6)</f>
        <v>12.25728155</v>
      </c>
      <c r="O6" s="49">
        <f>(C6)</f>
        <v>8.0228066556894906E-2</v>
      </c>
      <c r="P6" s="28">
        <f>(O6*N6)</f>
        <v>0.98337799999999997</v>
      </c>
      <c r="Q6" t="s">
        <v>11</v>
      </c>
      <c r="R6" s="39">
        <f>B6</f>
        <v>-12.25728155</v>
      </c>
      <c r="S6" s="28">
        <f>(C6)</f>
        <v>8.0228066556894906E-2</v>
      </c>
      <c r="T6" s="28">
        <f>D6</f>
        <v>-0.98337799999999997</v>
      </c>
    </row>
    <row r="7" spans="2:20">
      <c r="B7" s="18">
        <v>-12.70325203</v>
      </c>
      <c r="C7" s="49">
        <f t="shared" si="0"/>
        <v>9.5823336979011353E-2</v>
      </c>
      <c r="D7" s="28">
        <v>-1.217268</v>
      </c>
      <c r="N7" s="39">
        <f>-B11</f>
        <v>12.55901794</v>
      </c>
      <c r="O7" s="49">
        <f>($C$5*[1]Params!K9)</f>
        <v>0.10090021914266345</v>
      </c>
      <c r="P7" s="28">
        <f>-D11</f>
        <v>1.2941590000000001</v>
      </c>
      <c r="Q7" t="s">
        <v>11</v>
      </c>
      <c r="R7" s="39">
        <f>B7+B10+B8+B9</f>
        <v>4.1808636000000003</v>
      </c>
      <c r="S7" s="28">
        <f>(C7)</f>
        <v>9.5823336979011353E-2</v>
      </c>
      <c r="T7" s="28">
        <f>D7+D10+D8+D9</f>
        <v>-0.17389399999999999</v>
      </c>
    </row>
    <row r="8" spans="2:20">
      <c r="B8" s="18">
        <v>-12.62063846</v>
      </c>
      <c r="C8" s="49">
        <f t="shared" si="0"/>
        <v>0.13122973178014641</v>
      </c>
      <c r="D8" s="28">
        <v>-1.6562030000000001</v>
      </c>
      <c r="N8" s="39">
        <f>3*($B$5+$R$7)/5-N7-N6</f>
        <v>15.749618670000002</v>
      </c>
      <c r="O8" s="49">
        <f>($C$5*[1]Params!K10)</f>
        <v>0.13873780132116226</v>
      </c>
      <c r="P8" s="28">
        <f>(O8*N8)</f>
        <v>2.1850674659225282</v>
      </c>
      <c r="Q8" t="s">
        <v>11</v>
      </c>
      <c r="R8" s="39">
        <f>B11</f>
        <v>-12.55901794</v>
      </c>
      <c r="S8" s="28">
        <f>T8/R8</f>
        <v>0.10304619407208204</v>
      </c>
      <c r="T8" s="28">
        <f>D11</f>
        <v>-1.2941590000000001</v>
      </c>
    </row>
    <row r="9" spans="2:20">
      <c r="B9" s="18">
        <v>15.037158760000001</v>
      </c>
      <c r="C9" s="49">
        <f t="shared" si="0"/>
        <v>0.103022321219411</v>
      </c>
      <c r="D9" s="28">
        <v>1.5491630000000001</v>
      </c>
      <c r="N9" s="39">
        <f>4*($R$5+$R$7)/5+B12-N7-N6</f>
        <v>13.415354599999992</v>
      </c>
      <c r="O9" s="49">
        <f>($C$5*[1]Params!K11)</f>
        <v>0.31531318482082327</v>
      </c>
      <c r="P9" s="28">
        <f>(O9*N9)</f>
        <v>4.2300381844266788</v>
      </c>
      <c r="R9" s="23">
        <f>B12</f>
        <v>-15.856236790000001</v>
      </c>
      <c r="S9" s="28">
        <f>T9/R9</f>
        <v>0.13886598876907916</v>
      </c>
      <c r="T9" s="28">
        <f>D12</f>
        <v>-2.201892</v>
      </c>
    </row>
    <row r="10" spans="2:20">
      <c r="B10" s="18">
        <v>14.46759533</v>
      </c>
      <c r="C10" s="49">
        <f t="shared" si="0"/>
        <v>7.9516600634695803E-2</v>
      </c>
      <c r="D10" s="28">
        <v>1.150414</v>
      </c>
      <c r="N10" s="39"/>
      <c r="O10" s="28"/>
      <c r="P10" s="28"/>
      <c r="R10" s="23"/>
      <c r="S10" s="28"/>
      <c r="T10" s="28"/>
    </row>
    <row r="11" spans="2:20">
      <c r="B11" s="18">
        <v>-12.55901794</v>
      </c>
      <c r="C11" s="49">
        <f>D11/B11</f>
        <v>0.10304619407208204</v>
      </c>
      <c r="D11" s="28">
        <f>-1.294159</f>
        <v>-1.2941590000000001</v>
      </c>
      <c r="N11" s="39"/>
      <c r="O11" s="28"/>
      <c r="P11" s="28">
        <f>(SUM(P6:P9))</f>
        <v>8.6926426503492067</v>
      </c>
      <c r="R11" s="23"/>
      <c r="S11" s="28"/>
      <c r="T11" s="28"/>
    </row>
    <row r="12" spans="2:20">
      <c r="B12" s="18">
        <v>-15.856236790000001</v>
      </c>
      <c r="C12" s="49">
        <f>D12/B12</f>
        <v>0.13886598876907916</v>
      </c>
      <c r="D12" s="28">
        <v>-2.201892</v>
      </c>
      <c r="N12" s="39"/>
      <c r="O12" s="28"/>
      <c r="P12" s="28"/>
      <c r="R12" s="23"/>
      <c r="S12" s="28"/>
      <c r="T12" s="28"/>
    </row>
    <row r="13" spans="2:20">
      <c r="C13" s="28"/>
      <c r="D13" s="28"/>
      <c r="F13" t="s">
        <v>12</v>
      </c>
      <c r="G13" s="28">
        <f>(D14/B14)</f>
        <v>-2.4253445497353809E-2</v>
      </c>
      <c r="O13" s="28"/>
      <c r="R13" s="23"/>
      <c r="S13" s="28"/>
      <c r="T13" s="28"/>
    </row>
    <row r="14" spans="2:20">
      <c r="B14" s="18">
        <f>(SUM(B5:B13))</f>
        <v>26.937327320000005</v>
      </c>
      <c r="C14" s="28"/>
      <c r="D14" s="28">
        <f>(SUM(D5:D13))</f>
        <v>-0.65332299999999988</v>
      </c>
      <c r="O14" s="28"/>
      <c r="R14" s="23"/>
      <c r="S14" s="28"/>
      <c r="T14" s="28"/>
    </row>
    <row r="15" spans="2:20">
      <c r="R15" s="23"/>
      <c r="S15" s="28"/>
      <c r="T15" s="28"/>
    </row>
    <row r="16" spans="2:20">
      <c r="R16" s="23"/>
      <c r="S16" s="28"/>
      <c r="T16" s="28"/>
    </row>
    <row r="17" spans="12:22">
      <c r="R17" s="23"/>
      <c r="S17" s="28"/>
      <c r="T17" s="28"/>
    </row>
    <row r="18" spans="12:22">
      <c r="R18" s="23"/>
      <c r="S18" s="28"/>
      <c r="T18" s="28"/>
    </row>
    <row r="19" spans="12:22">
      <c r="R19" s="23"/>
      <c r="S19" s="28"/>
      <c r="T19" s="28"/>
    </row>
    <row r="20" spans="12:22">
      <c r="R20" s="23"/>
      <c r="S20" s="28"/>
      <c r="T20" s="28"/>
    </row>
    <row r="21" spans="12:22">
      <c r="R21" s="23"/>
      <c r="S21" s="28"/>
      <c r="T21" s="28"/>
    </row>
    <row r="22" spans="12:22">
      <c r="R22" s="23"/>
      <c r="S22" s="28"/>
      <c r="T22" s="28"/>
    </row>
    <row r="23" spans="12:22">
      <c r="R23" s="23"/>
      <c r="S23" s="28"/>
      <c r="T23" s="28"/>
    </row>
    <row r="24" spans="12:22">
      <c r="R24" s="23"/>
      <c r="S24" s="28"/>
      <c r="T24" s="28"/>
      <c r="V24" s="29"/>
    </row>
    <row r="26" spans="12:22">
      <c r="S26" s="28"/>
      <c r="T26" s="28"/>
    </row>
    <row r="27" spans="12:22">
      <c r="L27" s="29"/>
      <c r="M27" s="29"/>
      <c r="S27" s="28"/>
      <c r="T27" s="28"/>
    </row>
    <row r="28" spans="12:22">
      <c r="S28" s="28"/>
      <c r="T28" s="28"/>
    </row>
    <row r="29" spans="12:22">
      <c r="S29" s="28"/>
      <c r="T29" s="28"/>
    </row>
    <row r="30" spans="12:22">
      <c r="S30" s="28"/>
      <c r="T30" s="28"/>
    </row>
    <row r="31" spans="12:22">
      <c r="S31" s="28"/>
      <c r="T31" s="28"/>
    </row>
    <row r="32" spans="12:22">
      <c r="S32" s="28"/>
      <c r="T32" s="28"/>
    </row>
    <row r="33" spans="18:23">
      <c r="R33" s="23">
        <f>(SUM(R5:R31))</f>
        <v>26.937327320000005</v>
      </c>
      <c r="S33" s="28"/>
      <c r="T33" s="28">
        <f>(SUM(T5:T31))</f>
        <v>-0.65332299999999988</v>
      </c>
      <c r="V33" t="s">
        <v>12</v>
      </c>
      <c r="W33" s="28">
        <f>(T33/R33)</f>
        <v>-2.4253445497353809E-2</v>
      </c>
    </row>
    <row r="34" spans="18:23">
      <c r="S34" s="28"/>
      <c r="T34" s="28"/>
    </row>
    <row r="35" spans="18:23">
      <c r="S35" s="28"/>
      <c r="T35" s="28"/>
    </row>
    <row r="36" spans="18:23">
      <c r="S36" s="28"/>
      <c r="T36" s="28"/>
    </row>
    <row r="37" spans="18:23">
      <c r="S37" s="28"/>
      <c r="T37" s="28"/>
    </row>
  </sheetData>
  <conditionalFormatting sqref="C5 C9:C10 G13 O9 S5">
    <cfRule type="cellIs" dxfId="181" priority="23" operator="lessThan">
      <formula>$J$3</formula>
    </cfRule>
    <cfRule type="cellIs" dxfId="180" priority="24" operator="greaterThan">
      <formula>$J$3</formula>
    </cfRule>
  </conditionalFormatting>
  <conditionalFormatting sqref="O3">
    <cfRule type="cellIs" dxfId="179" priority="17" operator="greaterThan">
      <formula>$J$3</formula>
    </cfRule>
    <cfRule type="cellIs" dxfId="178" priority="18" operator="lessThan">
      <formula>$J$3</formula>
    </cfRule>
  </conditionalFormatting>
  <conditionalFormatting sqref="W33">
    <cfRule type="cellIs" dxfId="177" priority="1" operator="lessThan">
      <formula>$J$3</formula>
    </cfRule>
    <cfRule type="cellIs" dxfId="176" priority="2" operator="greaterThan">
      <formula>$J$3</formula>
    </cfRule>
    <cfRule type="cellIs" dxfId="175" priority="3" operator="lessThan">
      <formula>$J$3</formula>
    </cfRule>
    <cfRule type="cellIs" dxfId="174" priority="4" operator="greaterThan">
      <formula>$J$3</formula>
    </cfRule>
    <cfRule type="cellIs" dxfId="173" priority="5" operator="lessThan">
      <formula>$J$3</formula>
    </cfRule>
    <cfRule type="cellIs" dxfId="172" priority="6" operator="greaterThan">
      <formula>$J$3</formula>
    </cfRule>
    <cfRule type="cellIs" dxfId="171" priority="7" operator="lessThan">
      <formula>$J$3</formula>
    </cfRule>
    <cfRule type="cellIs" dxfId="170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13.152259508167941</v>
      </c>
      <c r="M3" t="s">
        <v>4</v>
      </c>
      <c r="N3" s="23">
        <f>(INDEX(N5:N19,MATCH(MAX(O6:O8),O5:O19,0))/0.85)</f>
        <v>0.62352941176470589</v>
      </c>
      <c r="O3" s="29">
        <f>(MAX(O6:O8)*0.75)</f>
        <v>8.0377360613207536</v>
      </c>
      <c r="P3" s="49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14.631484796947335</v>
      </c>
      <c r="K4" s="4">
        <f>(J4/D13-1)</f>
        <v>-302.84695492390927</v>
      </c>
      <c r="R4" t="s">
        <v>5</v>
      </c>
      <c r="S4" t="s">
        <v>6</v>
      </c>
      <c r="T4" t="s">
        <v>7</v>
      </c>
    </row>
    <row r="5" spans="2:21">
      <c r="B5" s="1">
        <v>2.5205032599999999</v>
      </c>
      <c r="C5" s="28">
        <f>(D5/B5)</f>
        <v>5.1418302867023478</v>
      </c>
      <c r="D5" s="28">
        <v>12.96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(B5)+B7+B8+B11</f>
        <v>1.0550032599999997</v>
      </c>
      <c r="S5" s="28">
        <f>(T5/R5)</f>
        <v>5.7688612734713267</v>
      </c>
      <c r="T5" s="28">
        <f>(D5)+(B7)*4.615+(B8)*4.6733+B11*4.7693</f>
        <v>6.0861674499999996</v>
      </c>
    </row>
    <row r="6" spans="2:21">
      <c r="B6" s="2">
        <v>2.3758199999999998E-3</v>
      </c>
      <c r="C6" s="31">
        <v>0</v>
      </c>
      <c r="D6" s="32">
        <f>(B6*C6)</f>
        <v>0</v>
      </c>
      <c r="E6" s="28">
        <f>(B6*J3)</f>
        <v>3.1247401184695555E-2</v>
      </c>
      <c r="M6" t="s">
        <v>10</v>
      </c>
      <c r="N6" s="23">
        <f>-B7</f>
        <v>0.442</v>
      </c>
      <c r="O6" s="28">
        <f>P6/N6</f>
        <v>6.1223448642533933</v>
      </c>
      <c r="P6" s="28">
        <f>-D7</f>
        <v>2.70607643</v>
      </c>
      <c r="Q6" t="s">
        <v>11</v>
      </c>
      <c r="R6" s="2">
        <f>(B6)</f>
        <v>2.3758199999999998E-3</v>
      </c>
      <c r="S6" s="31">
        <f>(T6/R6)</f>
        <v>0</v>
      </c>
      <c r="T6" s="32">
        <f>(D6)</f>
        <v>0</v>
      </c>
    </row>
    <row r="7" spans="2:21">
      <c r="B7" s="1">
        <v>-0.442</v>
      </c>
      <c r="C7" s="29">
        <f>D7/B7</f>
        <v>6.1223448642533933</v>
      </c>
      <c r="D7" s="28">
        <v>-2.70607643</v>
      </c>
      <c r="N7" s="23">
        <f>-B8</f>
        <v>0.49349999999999999</v>
      </c>
      <c r="O7" s="28">
        <f>P7/N7</f>
        <v>8.779363809523808</v>
      </c>
      <c r="P7" s="28">
        <f>-D8</f>
        <v>4.3326160399999996</v>
      </c>
      <c r="Q7" t="s">
        <v>11</v>
      </c>
      <c r="R7" s="1">
        <f>(B7)-B7</f>
        <v>0</v>
      </c>
      <c r="S7" s="28">
        <v>0</v>
      </c>
      <c r="T7" s="28">
        <f>(D7)-B7*4.615</f>
        <v>-0.66624642999999972</v>
      </c>
    </row>
    <row r="8" spans="2:21">
      <c r="B8">
        <v>-0.49349999999999999</v>
      </c>
      <c r="C8" s="29">
        <f>D8/B8</f>
        <v>8.779363809523808</v>
      </c>
      <c r="D8" s="28">
        <v>-4.3326160399999996</v>
      </c>
      <c r="N8" s="23">
        <f>-B11</f>
        <v>0.53</v>
      </c>
      <c r="O8" s="28">
        <f>P8/N8</f>
        <v>10.716981415094338</v>
      </c>
      <c r="P8" s="28">
        <f>-D11</f>
        <v>5.6800001499999997</v>
      </c>
      <c r="Q8" t="s">
        <v>11</v>
      </c>
      <c r="R8" s="1">
        <f>(B8)-B8</f>
        <v>0</v>
      </c>
      <c r="S8" s="28">
        <v>0</v>
      </c>
      <c r="T8" s="28">
        <f>(D8)-B8*4.6733</f>
        <v>-2.0263424899999993</v>
      </c>
    </row>
    <row r="9" spans="2:21">
      <c r="B9">
        <v>-0.46779999999999999</v>
      </c>
      <c r="C9" s="29">
        <f>D9/B9</f>
        <v>11.115392411286875</v>
      </c>
      <c r="D9" s="28">
        <v>-5.1997805699999997</v>
      </c>
      <c r="N9" s="23">
        <f>B13/2</f>
        <v>0.55623464499999986</v>
      </c>
      <c r="O9" s="28">
        <f>($S$5*[1]Params!K11)</f>
        <v>28.844306367356634</v>
      </c>
      <c r="P9" s="28">
        <f>(O9*N9)</f>
        <v>16.044202512517852</v>
      </c>
      <c r="R9" s="1">
        <f>(B9)+B10</f>
        <v>5.5090210000000028E-2</v>
      </c>
      <c r="S9" s="28">
        <v>0</v>
      </c>
      <c r="T9" s="28">
        <f>(D9)+D10</f>
        <v>-0.28978056999999957</v>
      </c>
      <c r="U9" s="29"/>
    </row>
    <row r="10" spans="2:21">
      <c r="B10" s="1">
        <v>0.52289021000000002</v>
      </c>
      <c r="C10" s="28">
        <f>(D10/B10)</f>
        <v>9.3901165217837992</v>
      </c>
      <c r="D10" s="28">
        <v>4.91</v>
      </c>
      <c r="R10" s="1">
        <f>B11-B11</f>
        <v>0</v>
      </c>
      <c r="S10" s="28">
        <v>0</v>
      </c>
      <c r="T10" s="28">
        <f>(D11)-B11*4.7693</f>
        <v>-3.1522711499999994</v>
      </c>
    </row>
    <row r="11" spans="2:21">
      <c r="B11" s="1">
        <v>-0.53</v>
      </c>
      <c r="C11" s="28">
        <f>(D11/B11)</f>
        <v>10.716981415094338</v>
      </c>
      <c r="D11" s="28">
        <f>-5.68000015</f>
        <v>-5.6800001499999997</v>
      </c>
      <c r="P11" s="28">
        <f>(SUM(P6:P9))</f>
        <v>28.762895132517851</v>
      </c>
      <c r="R11" s="1"/>
      <c r="S11" s="28"/>
      <c r="T11" s="28"/>
    </row>
    <row r="12" spans="2:21">
      <c r="F12" t="s">
        <v>12</v>
      </c>
      <c r="G12" s="28">
        <f>(D13/B13)</f>
        <v>-4.3572609541426097E-2</v>
      </c>
      <c r="R12" s="1"/>
      <c r="S12" s="28"/>
      <c r="T12" s="28"/>
    </row>
    <row r="13" spans="2:21">
      <c r="B13">
        <f>(SUM(B5:B12))</f>
        <v>1.1124692899999997</v>
      </c>
      <c r="D13" s="28">
        <f>(SUM(D5:D12))</f>
        <v>-4.8473189999997501E-2</v>
      </c>
      <c r="R13" s="1"/>
      <c r="S13" s="28"/>
      <c r="T13" s="28"/>
    </row>
    <row r="14" spans="2:21">
      <c r="R14" s="1"/>
      <c r="S14" s="28"/>
      <c r="T14" s="29"/>
    </row>
    <row r="15" spans="2:21">
      <c r="P15" s="28"/>
    </row>
    <row r="25" spans="18:20">
      <c r="R25">
        <f>(SUM(R5:R24))</f>
        <v>1.1124692899999995</v>
      </c>
      <c r="T25" s="28">
        <f>(SUM(T5:T24))</f>
        <v>-4.8473189999997945E-2</v>
      </c>
    </row>
  </sheetData>
  <conditionalFormatting sqref="C5 C10 G12 O9 S5">
    <cfRule type="cellIs" dxfId="169" priority="11" operator="lessThan">
      <formula>$J$3</formula>
    </cfRule>
    <cfRule type="cellIs" dxfId="168" priority="12" operator="greaterThan">
      <formula>$J$3</formula>
    </cfRule>
  </conditionalFormatting>
  <conditionalFormatting sqref="O3">
    <cfRule type="cellIs" dxfId="167" priority="3" operator="greaterThan">
      <formula>$J$3</formula>
    </cfRule>
    <cfRule type="cellIs" dxfId="166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workbookViewId="0">
      <selection activeCell="G25" sqref="G25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62087.109025673577</v>
      </c>
      <c r="M3" t="s">
        <v>4</v>
      </c>
      <c r="N3">
        <f>(INDEX((N8:N67),MATCH(O3/0.85,O8:O67,0))/0.9)</f>
        <v>2.047422222222222E-4</v>
      </c>
      <c r="O3" s="29">
        <f>(MAX(O8,O16:O18,O48,O24,O32,O40,O56,O64)*0.85)</f>
        <v>19471.8</v>
      </c>
      <c r="P3" s="34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(B39*J3)</f>
        <v>1658.6379332624065</v>
      </c>
      <c r="K4" s="4">
        <f>(J4/D39-1)</f>
        <v>1.0894163044027447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8">
        <v>41500</v>
      </c>
      <c r="D5" s="28">
        <f>(B5*C5)</f>
        <v>165.99294500000002</v>
      </c>
      <c r="S5" s="23">
        <f t="shared" ref="S5:S10" si="0">(B5)</f>
        <v>3.9998300000000002E-3</v>
      </c>
      <c r="T5" s="28">
        <v>41500</v>
      </c>
      <c r="U5" s="28">
        <f>(S5*T5)</f>
        <v>165.99294500000002</v>
      </c>
    </row>
    <row r="6" spans="2:21">
      <c r="B6" s="24">
        <v>3.5724999999999998E-4</v>
      </c>
      <c r="C6" s="31">
        <v>0</v>
      </c>
      <c r="D6" s="32">
        <f>(B6*C6)</f>
        <v>0</v>
      </c>
      <c r="E6" s="28">
        <f>(B6*J3)</f>
        <v>22.180619699421886</v>
      </c>
      <c r="I6" t="s">
        <v>10</v>
      </c>
      <c r="J6">
        <v>3.5000000000000003E-2</v>
      </c>
      <c r="S6" s="23">
        <f t="shared" si="0"/>
        <v>3.5724999999999998E-4</v>
      </c>
      <c r="T6" s="28">
        <v>0</v>
      </c>
      <c r="U6" s="28">
        <f>(S6*T6)</f>
        <v>0</v>
      </c>
    </row>
    <row r="7" spans="2:21">
      <c r="B7" s="23">
        <v>5.1073000000000004E-4</v>
      </c>
      <c r="C7" s="28">
        <f>D7/B7</f>
        <v>30544.514714232566</v>
      </c>
      <c r="D7" s="28">
        <v>15.6</v>
      </c>
      <c r="I7" t="s">
        <v>13</v>
      </c>
      <c r="J7" s="35">
        <f>(J6-B39)</f>
        <v>8.2853089910089918E-3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8">
        <f>(U7/S7)</f>
        <v>30544.514714232566</v>
      </c>
      <c r="U7" s="28" t="s">
        <v>20</v>
      </c>
    </row>
    <row r="8" spans="2:21">
      <c r="B8" s="23">
        <v>4.9108299999999997E-3</v>
      </c>
      <c r="C8" s="28">
        <f>D8/B8</f>
        <v>21381.314360301621</v>
      </c>
      <c r="D8" s="28">
        <v>105</v>
      </c>
      <c r="I8" t="s">
        <v>14</v>
      </c>
      <c r="J8" s="34">
        <f>(J7*J3)</f>
        <v>514.41088263616882</v>
      </c>
      <c r="M8" t="s">
        <v>10</v>
      </c>
      <c r="N8">
        <f>($B$16/5)</f>
        <v>3.3600000000000004E-4</v>
      </c>
      <c r="O8" s="28">
        <f>(C26)</f>
        <v>20979.026577380951</v>
      </c>
      <c r="P8" s="34">
        <f>(O8*N8)</f>
        <v>7.0489529300000004</v>
      </c>
      <c r="Q8" t="s">
        <v>11</v>
      </c>
      <c r="S8" s="23">
        <f t="shared" si="0"/>
        <v>4.9108299999999997E-3</v>
      </c>
      <c r="T8" s="28">
        <f>(U8/S8)</f>
        <v>21381.314360301621</v>
      </c>
      <c r="U8" s="28" t="s">
        <v>21</v>
      </c>
    </row>
    <row r="9" spans="2:21">
      <c r="B9" s="23">
        <v>2E-3</v>
      </c>
      <c r="C9" s="28">
        <f>D9/B9</f>
        <v>21750</v>
      </c>
      <c r="D9" s="28">
        <v>43.5</v>
      </c>
      <c r="N9">
        <f>($B$16/5)</f>
        <v>3.3600000000000004E-4</v>
      </c>
      <c r="O9" s="28">
        <f>($C$16*[1]Params!K16)</f>
        <v>33240.04</v>
      </c>
      <c r="P9" s="34">
        <f>(O9*N9)</f>
        <v>11.168653440000002</v>
      </c>
      <c r="S9" s="23">
        <f t="shared" si="0"/>
        <v>2E-3</v>
      </c>
      <c r="T9" s="28">
        <f>(U9/S9)</f>
        <v>21750</v>
      </c>
      <c r="U9" s="28" t="s">
        <v>22</v>
      </c>
    </row>
    <row r="10" spans="2:21">
      <c r="B10" s="23">
        <v>6.9999999999999999E-4</v>
      </c>
      <c r="C10" s="28">
        <v>20458</v>
      </c>
      <c r="D10" s="28">
        <f t="shared" ref="D10:D16" si="1">(C10*B10)</f>
        <v>14.320600000000001</v>
      </c>
      <c r="N10">
        <f>($B$16/5)</f>
        <v>3.3600000000000004E-4</v>
      </c>
      <c r="O10" s="28">
        <f>($C$16*[1]Params!K17)</f>
        <v>66480.08</v>
      </c>
      <c r="P10" s="34">
        <f>(O10*N10)</f>
        <v>22.337306880000003</v>
      </c>
      <c r="S10" s="23">
        <f t="shared" si="0"/>
        <v>6.9999999999999999E-4</v>
      </c>
      <c r="T10" s="28">
        <v>20458</v>
      </c>
      <c r="U10" s="28">
        <f>(T10*S10)</f>
        <v>14.320600000000001</v>
      </c>
    </row>
    <row r="11" spans="2:21">
      <c r="B11" s="23">
        <v>5.1000000000000004E-4</v>
      </c>
      <c r="C11" s="28">
        <v>19873.310000000001</v>
      </c>
      <c r="D11" s="28">
        <f t="shared" si="1"/>
        <v>10.135388100000002</v>
      </c>
      <c r="N11">
        <f>($B$16/5)</f>
        <v>3.3600000000000004E-4</v>
      </c>
      <c r="O11" s="28">
        <f>($C$16*[1]Params!K18)</f>
        <v>132960.16</v>
      </c>
      <c r="P11" s="34">
        <f>(O11*N11)</f>
        <v>44.674613760000007</v>
      </c>
      <c r="S11" s="23">
        <f>(B12)</f>
        <v>6.4000000000000005E-4</v>
      </c>
      <c r="T11" s="28">
        <v>19169.310000000001</v>
      </c>
      <c r="U11" s="28">
        <f>(T11*S11)</f>
        <v>12.268358400000002</v>
      </c>
    </row>
    <row r="12" spans="2:21">
      <c r="B12" s="23">
        <v>6.4000000000000005E-4</v>
      </c>
      <c r="C12" s="28">
        <v>19169.310000000001</v>
      </c>
      <c r="D12" s="28">
        <f t="shared" si="1"/>
        <v>12.268358400000002</v>
      </c>
      <c r="S12" s="23">
        <f>(B13+B11+B14)</f>
        <v>5.5000000000000003E-4</v>
      </c>
      <c r="T12" s="28">
        <f>(U12/S12)</f>
        <v>18256.087454545454</v>
      </c>
      <c r="U12" s="28">
        <f>(D13+D11+D14)</f>
        <v>10.0408481</v>
      </c>
    </row>
    <row r="13" spans="2:21">
      <c r="B13" s="23">
        <v>-5.0000000000000001E-4</v>
      </c>
      <c r="C13" s="28">
        <v>20709.080000000002</v>
      </c>
      <c r="D13" s="28">
        <f t="shared" si="1"/>
        <v>-10.354540000000002</v>
      </c>
      <c r="P13" s="34">
        <f>(SUM(P8:P11))</f>
        <v>85.229527010000012</v>
      </c>
      <c r="S13" s="23">
        <f>(B15)</f>
        <v>2.5799999999999998E-3</v>
      </c>
      <c r="T13" s="28">
        <v>18969</v>
      </c>
      <c r="U13" s="28">
        <f>(T13*S13)</f>
        <v>48.940019999999997</v>
      </c>
    </row>
    <row r="14" spans="2:21">
      <c r="B14" s="23">
        <v>5.4000000000000001E-4</v>
      </c>
      <c r="C14" s="28">
        <v>19000</v>
      </c>
      <c r="D14" s="28">
        <f t="shared" si="1"/>
        <v>10.26</v>
      </c>
      <c r="S14" s="23">
        <f>(B16+B26)</f>
        <v>1.3440000000000001E-3</v>
      </c>
      <c r="T14" s="28">
        <f t="shared" ref="T14:T21" si="2">(U14/S14)</f>
        <v>15530.268355654764</v>
      </c>
      <c r="U14" s="28">
        <f>(D16+D26)</f>
        <v>20.872680670000005</v>
      </c>
    </row>
    <row r="15" spans="2:21">
      <c r="B15" s="23">
        <v>2.5799999999999998E-3</v>
      </c>
      <c r="C15" s="28">
        <v>18969</v>
      </c>
      <c r="D15" s="28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8">
        <f t="shared" si="2"/>
        <v>93.555472223709913</v>
      </c>
      <c r="U15" s="28">
        <f>(D17+D18+D21+D33)</f>
        <v>3.4927999999999848E-2</v>
      </c>
    </row>
    <row r="16" spans="2:21">
      <c r="B16" s="23">
        <v>1.6800000000000001E-3</v>
      </c>
      <c r="C16" s="28">
        <v>16620.02</v>
      </c>
      <c r="D16" s="28">
        <f t="shared" si="1"/>
        <v>27.921633600000003</v>
      </c>
      <c r="M16" t="s">
        <v>10</v>
      </c>
      <c r="N16">
        <f>($B$17/5)</f>
        <v>1.8426799999999999E-4</v>
      </c>
      <c r="O16" s="28">
        <f>(C18)</f>
        <v>16444.444444444442</v>
      </c>
      <c r="P16" s="34">
        <f>(O16*N16)</f>
        <v>3.030184888888888</v>
      </c>
      <c r="Q16" t="s">
        <v>11</v>
      </c>
      <c r="S16" s="23">
        <f>(B19+B27)</f>
        <v>4.7999999999999898E-4</v>
      </c>
      <c r="T16" s="28">
        <f t="shared" si="2"/>
        <v>15650.000000000033</v>
      </c>
      <c r="U16" s="28">
        <f>(D19+D27)</f>
        <v>7.5119999999999996</v>
      </c>
    </row>
    <row r="17" spans="2:27">
      <c r="B17" s="23">
        <v>9.2133999999999998E-4</v>
      </c>
      <c r="C17" s="28">
        <f t="shared" ref="C17:C26" si="3">(D17/B17)</f>
        <v>11244.491718583802</v>
      </c>
      <c r="D17" s="28">
        <v>10.36</v>
      </c>
      <c r="N17">
        <f>($B$17/5)</f>
        <v>1.8426799999999999E-4</v>
      </c>
      <c r="O17" s="28">
        <f>(C21)</f>
        <v>17119.565217391304</v>
      </c>
      <c r="P17" s="34">
        <f>(O17*N17)</f>
        <v>3.1545880434782605</v>
      </c>
      <c r="Q17" t="s">
        <v>11</v>
      </c>
      <c r="S17" s="23">
        <f>(B20+B28)</f>
        <v>7.3329999999999999E-4</v>
      </c>
      <c r="T17" s="28">
        <f t="shared" si="2"/>
        <v>16031.774171553252</v>
      </c>
      <c r="U17" s="28">
        <f>(D20+D28)</f>
        <v>11.7561</v>
      </c>
    </row>
    <row r="18" spans="2:27">
      <c r="B18" s="23">
        <v>-1.8000000000000001E-4</v>
      </c>
      <c r="C18" s="28">
        <f t="shared" si="3"/>
        <v>16444.444444444442</v>
      </c>
      <c r="D18" s="28">
        <f>(-2.96)</f>
        <v>-2.96</v>
      </c>
      <c r="N18">
        <f>($B$17/5)</f>
        <v>1.8426799999999999E-4</v>
      </c>
      <c r="O18" s="28">
        <f>(C33)</f>
        <v>22908</v>
      </c>
      <c r="P18" s="34">
        <f>(O18*N18)</f>
        <v>4.2212113439999994</v>
      </c>
      <c r="Q18" t="s">
        <v>11</v>
      </c>
      <c r="S18" s="23">
        <f>(B22+B27)</f>
        <v>4.6000000000000001E-4</v>
      </c>
      <c r="T18" s="28">
        <f t="shared" si="2"/>
        <v>15907.391304347828</v>
      </c>
      <c r="U18" s="28">
        <f>(D22+D29)</f>
        <v>7.317400000000001</v>
      </c>
    </row>
    <row r="19" spans="2:27">
      <c r="B19" s="23">
        <v>5.9999999999999897E-4</v>
      </c>
      <c r="C19" s="28">
        <f t="shared" si="3"/>
        <v>16700.000000000029</v>
      </c>
      <c r="D19" s="28">
        <v>10.02</v>
      </c>
      <c r="F19" s="23"/>
      <c r="I19" s="29"/>
      <c r="N19">
        <f>($B$17/5)</f>
        <v>1.8426799999999999E-4</v>
      </c>
      <c r="O19" s="28">
        <f>($C$17*[1]Params!K18)</f>
        <v>89955.933748670417</v>
      </c>
      <c r="P19" s="34">
        <f>(O19*N19)</f>
        <v>16.576000000000001</v>
      </c>
      <c r="S19" s="23">
        <f>(B23+B32)</f>
        <v>7.3512399999999993E-3</v>
      </c>
      <c r="T19" s="28">
        <f t="shared" si="2"/>
        <v>26918.72375272743</v>
      </c>
      <c r="U19" s="28">
        <f>(D23+17438.6*B32)</f>
        <v>197.88599879999998</v>
      </c>
      <c r="V19" t="s">
        <v>9</v>
      </c>
    </row>
    <row r="20" spans="2:27">
      <c r="B20" s="23">
        <v>9.1330000000000003E-4</v>
      </c>
      <c r="C20" s="28">
        <f t="shared" si="3"/>
        <v>17080.915361874519</v>
      </c>
      <c r="D20" s="28">
        <v>15.6</v>
      </c>
      <c r="S20" s="23">
        <f>(B24+B31)</f>
        <v>1.6309200000000001E-3</v>
      </c>
      <c r="T20" s="28">
        <f t="shared" si="2"/>
        <v>27776.789419468761</v>
      </c>
      <c r="U20" s="28">
        <f>(D24+17211.7*B31)</f>
        <v>45.301721399999998</v>
      </c>
      <c r="V20" t="s">
        <v>15</v>
      </c>
    </row>
    <row r="21" spans="2:27">
      <c r="B21" s="23">
        <v>-1.84E-4</v>
      </c>
      <c r="C21" s="28">
        <f t="shared" si="3"/>
        <v>17119.565217391304</v>
      </c>
      <c r="D21" s="28">
        <v>-3.15</v>
      </c>
      <c r="P21" s="34">
        <f>(SUM(P16:P19))</f>
        <v>26.98198427636715</v>
      </c>
      <c r="S21" s="23">
        <f>(B25+B30)</f>
        <v>2.97E-5</v>
      </c>
      <c r="T21" s="28">
        <f t="shared" si="2"/>
        <v>16835.016835016835</v>
      </c>
      <c r="U21" s="28">
        <f>(D25+D30)</f>
        <v>0.5</v>
      </c>
    </row>
    <row r="22" spans="2:27">
      <c r="B22" s="23">
        <v>5.8E-4</v>
      </c>
      <c r="C22" s="28">
        <f t="shared" si="3"/>
        <v>17034.482758620692</v>
      </c>
      <c r="D22" s="28">
        <v>9.8800000000000008</v>
      </c>
      <c r="S22" s="23">
        <f>(B31-B31)</f>
        <v>0</v>
      </c>
      <c r="T22" s="28">
        <v>0</v>
      </c>
      <c r="U22" s="28">
        <f>(17211.7*-B31+D31)</f>
        <v>-0.25220140000000002</v>
      </c>
      <c r="V22" t="s">
        <v>17</v>
      </c>
    </row>
    <row r="23" spans="2:27">
      <c r="B23" s="23">
        <v>7.6932399999999996E-3</v>
      </c>
      <c r="C23" s="28">
        <f t="shared" si="3"/>
        <v>26497.288528630332</v>
      </c>
      <c r="D23" s="28">
        <v>203.85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8">
        <v>0</v>
      </c>
      <c r="U23" s="28">
        <f>(17438.6*-B32+D32)</f>
        <v>-1.4915987999999993</v>
      </c>
      <c r="V23" t="s">
        <v>18</v>
      </c>
    </row>
    <row r="24" spans="2:27">
      <c r="B24" s="23">
        <v>1.68892E-3</v>
      </c>
      <c r="C24" s="28">
        <f t="shared" si="3"/>
        <v>27413.968690050446</v>
      </c>
      <c r="D24" s="28">
        <v>46.3</v>
      </c>
      <c r="E24" t="s">
        <v>15</v>
      </c>
      <c r="M24" t="s">
        <v>10</v>
      </c>
      <c r="N24">
        <f>($B$19/5)</f>
        <v>1.199999999999998E-4</v>
      </c>
      <c r="O24" s="28">
        <f>(C27)</f>
        <v>20900</v>
      </c>
      <c r="P24" s="34">
        <f>(O24*N24)</f>
        <v>2.507999999999996</v>
      </c>
      <c r="Q24" t="s">
        <v>11</v>
      </c>
      <c r="S24" s="23">
        <f>(B34)</f>
        <v>2.2103600000000002E-3</v>
      </c>
      <c r="T24" s="28">
        <f>(U24/S24)</f>
        <v>31103.530646591502</v>
      </c>
      <c r="U24" s="28">
        <f>(D34)</f>
        <v>68.75</v>
      </c>
      <c r="V24" t="s">
        <v>16</v>
      </c>
    </row>
    <row r="25" spans="2:27">
      <c r="B25" s="23">
        <v>2.97E-5</v>
      </c>
      <c r="C25" s="28">
        <f t="shared" si="3"/>
        <v>16835.016835016835</v>
      </c>
      <c r="D25" s="28">
        <v>0.5</v>
      </c>
      <c r="N25">
        <f>($B$19/5)</f>
        <v>1.199999999999998E-4</v>
      </c>
      <c r="O25" s="28">
        <f>($C$19*[1]Params!K16)</f>
        <v>33400.000000000058</v>
      </c>
      <c r="P25" s="34">
        <f>(O25*N25)</f>
        <v>4.008</v>
      </c>
    </row>
    <row r="26" spans="2:27">
      <c r="B26" s="23">
        <v>-3.3599999999999998E-4</v>
      </c>
      <c r="C26" s="28">
        <f t="shared" si="3"/>
        <v>20979.026577380951</v>
      </c>
      <c r="D26" s="28">
        <f>(-7.04895293)</f>
        <v>-7.0489529299999996</v>
      </c>
      <c r="N26">
        <f>($B$19/5)</f>
        <v>1.199999999999998E-4</v>
      </c>
      <c r="O26" s="28">
        <f>($C$19*[1]Params!K17)</f>
        <v>66800.000000000116</v>
      </c>
      <c r="P26" s="34">
        <f>(O26*N26)</f>
        <v>8.016</v>
      </c>
    </row>
    <row r="27" spans="2:27">
      <c r="B27" s="23">
        <v>-1.2E-4</v>
      </c>
      <c r="C27" s="28">
        <v>20900</v>
      </c>
      <c r="D27" s="28">
        <f>(C27*B27)</f>
        <v>-2.508</v>
      </c>
      <c r="N27">
        <f>($B$19/5)</f>
        <v>1.199999999999998E-4</v>
      </c>
      <c r="O27" s="28">
        <f>($C$19*[1]Params!K18)</f>
        <v>133600.00000000023</v>
      </c>
      <c r="P27" s="34">
        <f>(O27*N27)</f>
        <v>16.032</v>
      </c>
    </row>
    <row r="28" spans="2:27">
      <c r="B28" s="23">
        <v>-1.8000000000000001E-4</v>
      </c>
      <c r="C28" s="28">
        <v>21355</v>
      </c>
      <c r="D28" s="28">
        <f>(B28*C28)</f>
        <v>-3.8439000000000001</v>
      </c>
    </row>
    <row r="29" spans="2:27">
      <c r="B29" s="23">
        <v>-1.2E-4</v>
      </c>
      <c r="C29" s="28">
        <v>21355</v>
      </c>
      <c r="D29" s="28">
        <f>(C29*B29)</f>
        <v>-2.5626000000000002</v>
      </c>
      <c r="P29" s="34">
        <f>(SUM(P24:P27))</f>
        <v>30.563999999999997</v>
      </c>
    </row>
    <row r="30" spans="2:27">
      <c r="B30" s="23">
        <f>(-N64)</f>
        <v>0</v>
      </c>
      <c r="C30" s="28">
        <v>21560</v>
      </c>
      <c r="D30" s="28">
        <f>(C30*B30)</f>
        <v>0</v>
      </c>
    </row>
    <row r="31" spans="2:27">
      <c r="B31" s="23">
        <f>(-0.000058-B30)</f>
        <v>-5.8E-5</v>
      </c>
      <c r="C31" s="28">
        <v>21560</v>
      </c>
      <c r="D31" s="28">
        <f>(C31*B31)</f>
        <v>-1.25048</v>
      </c>
      <c r="N31" t="s">
        <v>0</v>
      </c>
      <c r="O31" t="s">
        <v>1</v>
      </c>
      <c r="P31" t="s">
        <v>2</v>
      </c>
      <c r="AA31" s="29"/>
    </row>
    <row r="32" spans="2:27">
      <c r="B32" s="23">
        <v>-3.4200000000000002E-4</v>
      </c>
      <c r="C32" s="28">
        <f>(D32/B32)</f>
        <v>21799.999999999996</v>
      </c>
      <c r="D32" s="28">
        <v>-7.4555999999999996</v>
      </c>
      <c r="M32" t="s">
        <v>10</v>
      </c>
      <c r="N32">
        <f>($B$20/5)</f>
        <v>1.8266000000000002E-4</v>
      </c>
      <c r="O32" s="28">
        <f>(C28)</f>
        <v>21355</v>
      </c>
      <c r="P32" s="34">
        <f>(O32*N32)</f>
        <v>3.9007043000000006</v>
      </c>
      <c r="Q32" t="s">
        <v>11</v>
      </c>
      <c r="AA32" s="29"/>
    </row>
    <row r="33" spans="2:21">
      <c r="B33" s="23">
        <f>(-0.000184)</f>
        <v>-1.84E-4</v>
      </c>
      <c r="C33" s="28">
        <f>(D33/B33)</f>
        <v>22908</v>
      </c>
      <c r="D33" s="28">
        <f>(-4.215072)</f>
        <v>-4.2150720000000002</v>
      </c>
      <c r="N33">
        <f>($B$20/5)</f>
        <v>1.8266000000000002E-4</v>
      </c>
      <c r="O33" s="28">
        <f>($C$20*[1]Params!K16)</f>
        <v>34161.830723749037</v>
      </c>
      <c r="P33" s="34">
        <f>(O33*N33)</f>
        <v>6.2399999999999993</v>
      </c>
    </row>
    <row r="34" spans="2:21">
      <c r="B34" s="23">
        <v>2.2103600000000002E-3</v>
      </c>
      <c r="C34" s="28">
        <f>(D34/B34)</f>
        <v>31103.530646591502</v>
      </c>
      <c r="D34" s="28">
        <v>68.75</v>
      </c>
      <c r="E34" t="s">
        <v>16</v>
      </c>
      <c r="N34">
        <f>($B$20/5)</f>
        <v>1.8266000000000002E-4</v>
      </c>
      <c r="O34" s="28">
        <f>($C$20*[1]Params!K17)</f>
        <v>68323.661447498074</v>
      </c>
      <c r="P34" s="34">
        <f>(O34*N34)</f>
        <v>12.479999999999999</v>
      </c>
    </row>
    <row r="35" spans="2:21">
      <c r="B35" s="23">
        <f>0.00073-0.00000073</f>
        <v>7.2926999999999996E-4</v>
      </c>
      <c r="C35" s="28">
        <f>(D35/B35)</f>
        <v>27395.295295295298</v>
      </c>
      <c r="D35" s="28">
        <v>19.978567000000002</v>
      </c>
      <c r="N35">
        <f>($B$20/5)</f>
        <v>1.8266000000000002E-4</v>
      </c>
      <c r="O35" s="28">
        <f>($C$20*[1]Params!K18)</f>
        <v>136647.32289499615</v>
      </c>
      <c r="P35" s="34">
        <f>(O35*N35)</f>
        <v>24.959999999999997</v>
      </c>
    </row>
    <row r="36" spans="2:21">
      <c r="B36" s="23">
        <f>-0.00108507+0.0012102/1.001</f>
        <v>1.2392100899100904E-4</v>
      </c>
      <c r="C36" s="28">
        <v>0</v>
      </c>
      <c r="D36" s="28">
        <f>C36*B36</f>
        <v>0</v>
      </c>
      <c r="E36" s="29" t="s">
        <v>19</v>
      </c>
    </row>
    <row r="37" spans="2:21">
      <c r="B37" s="23">
        <v>-5.0000000000000001E-3</v>
      </c>
      <c r="C37" s="28">
        <v>0</v>
      </c>
      <c r="D37" s="28">
        <v>0</v>
      </c>
      <c r="E37" s="29" t="s">
        <v>19</v>
      </c>
      <c r="F37">
        <v>0.52980000000000005</v>
      </c>
      <c r="P37" s="34">
        <f>(SUM(P32:P35))</f>
        <v>47.580704299999994</v>
      </c>
    </row>
    <row r="38" spans="2:21">
      <c r="F38" t="s">
        <v>12</v>
      </c>
      <c r="G38" s="29">
        <f>(D39/B39)</f>
        <v>29715.049554675054</v>
      </c>
      <c r="S38">
        <f>(SUM(S5:S25))</f>
        <v>3.0861499999999997E-2</v>
      </c>
      <c r="U38" s="28">
        <f>(SUM(U5:U25))</f>
        <v>609.74980017000007</v>
      </c>
    </row>
    <row r="39" spans="2:21">
      <c r="B39" s="23">
        <f>(SUM(B5:B38))</f>
        <v>2.6714691008991012E-2</v>
      </c>
      <c r="D39" s="28">
        <f>(SUM(D5:D38))</f>
        <v>793.82836716999998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8">
        <f>(C29)</f>
        <v>21355</v>
      </c>
      <c r="P40" s="34">
        <f>(O40*N40)</f>
        <v>2.5626000000000002</v>
      </c>
      <c r="Q40" t="s">
        <v>11</v>
      </c>
    </row>
    <row r="41" spans="2:21">
      <c r="N41">
        <f>($B$22/5)</f>
        <v>1.16E-4</v>
      </c>
      <c r="O41" s="28">
        <f>($C$22*[1]Params!K16)</f>
        <v>34068.965517241384</v>
      </c>
      <c r="P41" s="34">
        <f>(O41*N41)</f>
        <v>3.9520000000000004</v>
      </c>
    </row>
    <row r="42" spans="2:21">
      <c r="N42">
        <f>($B$22/5)</f>
        <v>1.16E-4</v>
      </c>
      <c r="O42" s="28">
        <f>($C$22*[1]Params!K17)</f>
        <v>68137.931034482768</v>
      </c>
      <c r="P42" s="34">
        <f>(O42*N42)</f>
        <v>7.9040000000000008</v>
      </c>
    </row>
    <row r="43" spans="2:21">
      <c r="N43">
        <f>($B$22/5)</f>
        <v>1.16E-4</v>
      </c>
      <c r="O43" s="28">
        <f>($C$22*[1]Params!K18)</f>
        <v>136275.86206896554</v>
      </c>
      <c r="P43" s="34">
        <f>(O43*N43)</f>
        <v>15.808000000000002</v>
      </c>
    </row>
    <row r="45" spans="2:21">
      <c r="P45" s="34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8">
        <f>(C32)</f>
        <v>21799.999999999996</v>
      </c>
      <c r="P48" s="34">
        <f>(O48*N48)</f>
        <v>7.4555999999999996</v>
      </c>
      <c r="Q48" t="s">
        <v>11</v>
      </c>
    </row>
    <row r="49" spans="13:17">
      <c r="N49">
        <f>(2*($S$19+N48)/5-N48)</f>
        <v>2.7352959999999999E-3</v>
      </c>
      <c r="O49" s="28">
        <f>($T$19*[1]Params!K16)</f>
        <v>53837.44750545486</v>
      </c>
      <c r="P49" s="34">
        <f>(O49*N49)</f>
        <v>147.26135481188066</v>
      </c>
    </row>
    <row r="50" spans="13:17">
      <c r="N50">
        <f>($B$23/5)</f>
        <v>1.5386479999999999E-3</v>
      </c>
      <c r="O50" s="28">
        <f>($T$19*[1]Params!K17)</f>
        <v>107674.89501090972</v>
      </c>
      <c r="P50" s="34">
        <f>(O50*N50)</f>
        <v>165.67376185874622</v>
      </c>
    </row>
    <row r="51" spans="13:17">
      <c r="N51">
        <f>($B$23/5)</f>
        <v>1.5386479999999999E-3</v>
      </c>
      <c r="O51" s="28">
        <f>($T$19*[1]Params!K18)</f>
        <v>215349.79002181944</v>
      </c>
      <c r="P51" s="34">
        <f>(O51*N51)</f>
        <v>331.34752371749244</v>
      </c>
    </row>
    <row r="53" spans="13:17">
      <c r="P53" s="34">
        <f>(SUM(P48:P51))</f>
        <v>651.73824038811927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8">
        <f>(C31)</f>
        <v>21560</v>
      </c>
      <c r="P56" s="34">
        <f>(O56*N56)</f>
        <v>1.25048</v>
      </c>
      <c r="Q56" t="s">
        <v>11</v>
      </c>
    </row>
    <row r="57" spans="13:17">
      <c r="N57">
        <f>(2*($S$20+N56)/5-N56)</f>
        <v>6.1756799999999998E-4</v>
      </c>
      <c r="O57" s="28">
        <f>($T$20*[1]Params!K16)</f>
        <v>55553.578838937523</v>
      </c>
      <c r="P57" s="34">
        <f>(O57*N57)</f>
        <v>34.308112576404966</v>
      </c>
    </row>
    <row r="58" spans="13:17">
      <c r="N58">
        <f>($B$24/5)</f>
        <v>3.3778399999999999E-4</v>
      </c>
      <c r="O58" s="28">
        <f>($T$20*[1]Params!K17)</f>
        <v>111107.15767787505</v>
      </c>
      <c r="P58" s="34">
        <f>(O58*N58)</f>
        <v>37.530220149063346</v>
      </c>
    </row>
    <row r="59" spans="13:17">
      <c r="N59">
        <f>($B$24/5)</f>
        <v>3.3778399999999999E-4</v>
      </c>
      <c r="O59" s="28">
        <f>($T$20*[1]Params!K18)</f>
        <v>222214.31535575009</v>
      </c>
      <c r="P59" s="34">
        <f>(O59*N59)</f>
        <v>75.060440298126693</v>
      </c>
    </row>
    <row r="61" spans="13:17">
      <c r="P61" s="34">
        <f>(SUM(P56:P59))</f>
        <v>148.14925302359501</v>
      </c>
    </row>
    <row r="64" spans="13:17">
      <c r="O64" s="28"/>
      <c r="P64" s="34"/>
    </row>
    <row r="65" spans="13:16">
      <c r="O65" s="28"/>
      <c r="P65" s="34"/>
    </row>
    <row r="66" spans="13:16">
      <c r="O66" s="28"/>
      <c r="P66" s="34"/>
    </row>
    <row r="67" spans="13:16">
      <c r="O67" s="28"/>
      <c r="P67" s="34"/>
    </row>
    <row r="69" spans="13:16">
      <c r="P69" s="34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4.4207200000000006E-4</v>
      </c>
      <c r="O72" s="28">
        <f>($T$24*[1]Params!K15)</f>
        <v>46655.295969887251</v>
      </c>
      <c r="P72" s="34">
        <f>(O72*N72)</f>
        <v>20.625</v>
      </c>
    </row>
    <row r="73" spans="13:16">
      <c r="N73">
        <f>($S$24/5)</f>
        <v>4.4207200000000006E-4</v>
      </c>
      <c r="O73" s="28">
        <f>($T$24*[1]Params!K16)</f>
        <v>62207.061293183004</v>
      </c>
      <c r="P73" s="34">
        <f>(O73*N73)</f>
        <v>27.5</v>
      </c>
    </row>
    <row r="74" spans="13:16">
      <c r="N74">
        <f>($S$24/5)</f>
        <v>4.4207200000000006E-4</v>
      </c>
      <c r="O74" s="28">
        <f>($T$24*[1]Params!K17)</f>
        <v>124414.12258636601</v>
      </c>
      <c r="P74" s="34">
        <f>(O74*N74)</f>
        <v>55</v>
      </c>
    </row>
    <row r="75" spans="13:16">
      <c r="N75">
        <f>($S$24/5)</f>
        <v>4.4207200000000006E-4</v>
      </c>
      <c r="O75" s="28">
        <f>($T$24*[1]Params!K18)</f>
        <v>248828.24517273201</v>
      </c>
      <c r="P75" s="34">
        <f>(O75*N75)</f>
        <v>110</v>
      </c>
    </row>
    <row r="77" spans="13:16">
      <c r="P77" s="34">
        <f>(SUM(P72:P75))</f>
        <v>213.125</v>
      </c>
    </row>
  </sheetData>
  <conditionalFormatting sqref="C5 C7:C17 C19:C20 C22:C25 C34:C35 G38 O9:O11 O19 O25:O27 O33:O35 O41:O43 O49:O51 O57:O59 O65:O67 O72:O75 T5 T7:T21 T24">
    <cfRule type="cellIs" dxfId="289" priority="45" operator="lessThan">
      <formula>$J$3</formula>
    </cfRule>
    <cfRule type="cellIs" dxfId="288" priority="46" operator="greaterThan">
      <formula>$J$3</formula>
    </cfRule>
  </conditionalFormatting>
  <conditionalFormatting sqref="O3">
    <cfRule type="cellIs" dxfId="287" priority="1" operator="greaterThan">
      <formula>$J$3</formula>
    </cfRule>
    <cfRule type="cellIs" dxfId="28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8">
        <v>0.96624502100259568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(B10*J3)</f>
        <v>2.8256086735732899</v>
      </c>
      <c r="K4" s="4">
        <f>(J4/D10-1)</f>
        <v>-5.8130442142236727E-2</v>
      </c>
    </row>
    <row r="5" spans="2:16">
      <c r="B5" s="39">
        <v>2.9243190000000001</v>
      </c>
      <c r="C5" s="28">
        <f>(D5/B5)</f>
        <v>1.0258798715188049</v>
      </c>
      <c r="D5" s="28">
        <v>3</v>
      </c>
      <c r="E5" t="s">
        <v>78</v>
      </c>
      <c r="N5" t="s">
        <v>30</v>
      </c>
      <c r="O5" t="s">
        <v>1</v>
      </c>
      <c r="P5" t="s">
        <v>2</v>
      </c>
    </row>
    <row r="6" spans="2:16">
      <c r="B6" s="23"/>
      <c r="C6" s="28"/>
      <c r="D6" s="28"/>
      <c r="M6" t="s">
        <v>10</v>
      </c>
      <c r="N6" s="23">
        <f>($B$5/5)</f>
        <v>0.58486380000000004</v>
      </c>
      <c r="O6" s="28">
        <f>($C$5*[1]Params!K8)</f>
        <v>1.3336438329744464</v>
      </c>
      <c r="P6" s="28">
        <f>(O6*N6)</f>
        <v>0.78000000000000014</v>
      </c>
    </row>
    <row r="7" spans="2:16">
      <c r="B7" s="23"/>
      <c r="C7" s="28"/>
      <c r="D7" s="28"/>
      <c r="N7" s="23">
        <f>($B$5/5)</f>
        <v>0.58486380000000004</v>
      </c>
      <c r="O7" s="28">
        <f>($C$5*[1]Params!K9)</f>
        <v>1.641407794430088</v>
      </c>
      <c r="P7" s="28">
        <f>(O7*N7)</f>
        <v>0.96000000000000019</v>
      </c>
    </row>
    <row r="8" spans="2:16">
      <c r="B8" s="23"/>
      <c r="C8" s="28"/>
      <c r="D8" s="28"/>
      <c r="N8" s="23">
        <f>($B$5/5)</f>
        <v>0.58486380000000004</v>
      </c>
      <c r="O8" s="28">
        <f>($C$5*[1]Params!K10)</f>
        <v>2.2569357173413711</v>
      </c>
      <c r="P8" s="28">
        <f>(O8*N8)</f>
        <v>1.3200000000000003</v>
      </c>
    </row>
    <row r="9" spans="2:16">
      <c r="B9" s="23"/>
      <c r="C9" s="28"/>
      <c r="D9" s="28"/>
      <c r="F9" t="s">
        <v>12</v>
      </c>
      <c r="G9" s="28">
        <f>(D10/B10)</f>
        <v>1.0258798715188049</v>
      </c>
      <c r="H9" s="28"/>
      <c r="N9" s="23">
        <f>($B$5/5)</f>
        <v>0.58486380000000004</v>
      </c>
      <c r="O9" s="28">
        <f>($C$5*[1]Params!K11)</f>
        <v>5.1293993575940249</v>
      </c>
      <c r="P9" s="28">
        <f>(O9*N9)</f>
        <v>3.0000000000000004</v>
      </c>
    </row>
    <row r="10" spans="2:16">
      <c r="B10" s="39">
        <f>(SUM(B5:B9))</f>
        <v>2.9243190000000001</v>
      </c>
      <c r="C10" s="28"/>
      <c r="D10" s="28">
        <f>(SUM(D5:D9))</f>
        <v>3</v>
      </c>
      <c r="O10" s="28"/>
      <c r="P10" s="28"/>
    </row>
    <row r="11" spans="2:16">
      <c r="C11" s="28"/>
      <c r="D11" s="28"/>
      <c r="O11" s="28"/>
      <c r="P11" s="28">
        <f>(SUM(P6:P9))</f>
        <v>6.0600000000000005</v>
      </c>
    </row>
    <row r="12" spans="2:16">
      <c r="O12" s="28"/>
      <c r="P12" s="28"/>
    </row>
  </sheetData>
  <conditionalFormatting sqref="C5">
    <cfRule type="cellIs" dxfId="165" priority="5" operator="lessThan">
      <formula>$J$3</formula>
    </cfRule>
    <cfRule type="cellIs" dxfId="164" priority="6" operator="greaterThan">
      <formula>$J$3</formula>
    </cfRule>
  </conditionalFormatting>
  <conditionalFormatting sqref="G9">
    <cfRule type="cellIs" dxfId="163" priority="3" operator="lessThan">
      <formula>$J$3</formula>
    </cfRule>
    <cfRule type="cellIs" dxfId="162" priority="4" operator="greaterThan">
      <formula>$J$3</formula>
    </cfRule>
  </conditionalFormatting>
  <conditionalFormatting sqref="O6:O9">
    <cfRule type="cellIs" dxfId="161" priority="1" operator="lessThan">
      <formula>$J$3</formula>
    </cfRule>
    <cfRule type="cellIs" dxfId="160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3.383088313978234</v>
      </c>
      <c r="M3" t="s">
        <v>4</v>
      </c>
      <c r="N3" s="1">
        <f>(INDEX(N5:N17,MATCH(MAX(O6),O5:O17,0))/0.85)</f>
        <v>1.4035294117647059</v>
      </c>
      <c r="O3" s="29">
        <f>(MAX(O6)*0.75)</f>
        <v>2.1284581056160938</v>
      </c>
      <c r="P3" s="28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(B11*J3)</f>
        <v>20.30493917851112</v>
      </c>
      <c r="K4" s="4">
        <f>(J4/D11-1)</f>
        <v>0.67532988728462429</v>
      </c>
      <c r="R4" t="s">
        <v>5</v>
      </c>
      <c r="S4" t="s">
        <v>6</v>
      </c>
      <c r="T4" t="s">
        <v>7</v>
      </c>
    </row>
    <row r="5" spans="2:21">
      <c r="B5" s="1">
        <v>6.9602541699999998</v>
      </c>
      <c r="C5" s="28">
        <f>(D5/B5)</f>
        <v>2.3016400850775254</v>
      </c>
      <c r="D5" s="28">
        <v>16.02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</f>
        <v>5.7672541699999993</v>
      </c>
      <c r="S5" s="28">
        <f>(T5/R5)</f>
        <v>2.3269677396583339</v>
      </c>
      <c r="T5" s="28">
        <f>(D5)+(B7)*2.1792</f>
        <v>13.420214399999999</v>
      </c>
    </row>
    <row r="6" spans="2:21">
      <c r="B6" s="2">
        <v>2.0731980000000001E-2</v>
      </c>
      <c r="C6" s="31">
        <v>0</v>
      </c>
      <c r="D6" s="32">
        <f>(B6*C6)</f>
        <v>0</v>
      </c>
      <c r="E6" s="28">
        <f>(B6*J3)</f>
        <v>7.0138119263630463E-2</v>
      </c>
      <c r="M6" t="s">
        <v>10</v>
      </c>
      <c r="N6" s="1">
        <f>-B7</f>
        <v>1.1930000000000001</v>
      </c>
      <c r="O6" s="28">
        <f>P6/N6</f>
        <v>2.8379441408214583</v>
      </c>
      <c r="P6" s="28">
        <f>-D7</f>
        <v>3.3856673599999998</v>
      </c>
      <c r="Q6" t="s">
        <v>11</v>
      </c>
      <c r="R6" s="2">
        <f>(B6)</f>
        <v>2.0731980000000001E-2</v>
      </c>
      <c r="S6" s="31">
        <f>(T6/R6)</f>
        <v>0</v>
      </c>
      <c r="T6" s="32">
        <f>(D6)</f>
        <v>0</v>
      </c>
    </row>
    <row r="7" spans="2:21">
      <c r="B7" s="1">
        <v>-1.1930000000000001</v>
      </c>
      <c r="C7" s="29">
        <f>D7/B7</f>
        <v>2.8379441408214583</v>
      </c>
      <c r="D7" s="28">
        <f>-3.38566736</f>
        <v>-3.3856673599999998</v>
      </c>
      <c r="N7" s="1">
        <f>2*($B$11+$N$6)/5-$N$6</f>
        <v>1.6849578040000002</v>
      </c>
      <c r="O7" s="28">
        <f>($C$5*[1]Params!K9)</f>
        <v>3.6826241361240406</v>
      </c>
      <c r="P7" s="28">
        <f>(O7*N7)</f>
        <v>6.2050662773609613</v>
      </c>
      <c r="R7" s="1">
        <f>(B7)-B7</f>
        <v>0</v>
      </c>
      <c r="S7" s="28">
        <v>0</v>
      </c>
      <c r="T7" s="28">
        <f>(D7)-B7*2.1792</f>
        <v>-0.7858817600000001</v>
      </c>
    </row>
    <row r="8" spans="2:21">
      <c r="B8" s="1">
        <v>-1.19</v>
      </c>
      <c r="C8" s="29">
        <f>D8/B8</f>
        <v>3.6507293193277315</v>
      </c>
      <c r="D8" s="28">
        <v>-4.34436789</v>
      </c>
      <c r="N8" s="1">
        <f>($B$11+$N$6)/5</f>
        <v>1.4389789020000001</v>
      </c>
      <c r="O8" s="28">
        <f>($C$5*[1]Params!K10)</f>
        <v>5.0636081871705558</v>
      </c>
      <c r="P8" s="28">
        <f>(O8*N8)</f>
        <v>7.2864253493328972</v>
      </c>
      <c r="R8" s="1">
        <f>(B8)+B9</f>
        <v>0.21390836000000002</v>
      </c>
      <c r="S8" s="28">
        <v>0</v>
      </c>
      <c r="T8" s="28">
        <f>(D8)+D9</f>
        <v>-0.51436788999999994</v>
      </c>
      <c r="U8" t="s">
        <v>81</v>
      </c>
    </row>
    <row r="9" spans="2:21">
      <c r="B9" s="1">
        <v>1.40390836</v>
      </c>
      <c r="C9" s="28">
        <f>(D9/B9)</f>
        <v>2.7280982926834341</v>
      </c>
      <c r="D9" s="28">
        <v>3.83</v>
      </c>
      <c r="N9" s="1">
        <f>($B$11+$N$6)/5</f>
        <v>1.4389789020000001</v>
      </c>
      <c r="O9" s="28">
        <f>($C$5*[1]Params!K11)</f>
        <v>11.508200425387628</v>
      </c>
      <c r="P9" s="28">
        <f>(O9*N9)</f>
        <v>16.560057612120222</v>
      </c>
      <c r="R9" s="1"/>
      <c r="S9" s="28"/>
      <c r="T9" s="28"/>
    </row>
    <row r="10" spans="2:21">
      <c r="F10" t="s">
        <v>12</v>
      </c>
      <c r="G10" s="28">
        <f>(D11/B11)</f>
        <v>2.019356509816431</v>
      </c>
      <c r="R10" s="1"/>
      <c r="S10" s="28"/>
      <c r="T10" s="28"/>
    </row>
    <row r="11" spans="2:21">
      <c r="B11" s="1">
        <f>(SUM(B5:B10))</f>
        <v>6.0018945100000005</v>
      </c>
      <c r="D11" s="28">
        <f>(SUM(D5:D10))</f>
        <v>12.119964749999999</v>
      </c>
      <c r="P11" s="28">
        <f>(SUM(P6:P9))</f>
        <v>33.437216598814075</v>
      </c>
      <c r="R11" s="1"/>
      <c r="S11" s="28"/>
      <c r="T11" s="28"/>
    </row>
    <row r="12" spans="2:21">
      <c r="R12" s="1"/>
      <c r="S12" s="28"/>
      <c r="T12" s="29"/>
    </row>
    <row r="23" spans="18:20">
      <c r="R23">
        <f>(SUM(R5:R22))</f>
        <v>6.0018945099999996</v>
      </c>
      <c r="T23" s="28">
        <f>(SUM(T5:T22))</f>
        <v>12.119964749999998</v>
      </c>
    </row>
  </sheetData>
  <conditionalFormatting sqref="C5 G10 O7:O8 S5">
    <cfRule type="cellIs" dxfId="159" priority="11" operator="lessThan">
      <formula>$J$3</formula>
    </cfRule>
    <cfRule type="cellIs" dxfId="158" priority="12" operator="greaterThan">
      <formula>$J$3</formula>
    </cfRule>
  </conditionalFormatting>
  <conditionalFormatting sqref="O9"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O3">
    <cfRule type="cellIs" dxfId="155" priority="5" operator="greaterThan">
      <formula>$J$3</formula>
    </cfRule>
    <cfRule type="cellIs" dxfId="154" priority="6" operator="lessThan">
      <formula>$J$3</formula>
    </cfRule>
  </conditionalFormatting>
  <conditionalFormatting sqref="C9"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M2" sqref="M2:P3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21.387708659218749</v>
      </c>
      <c r="M3" t="s">
        <v>4</v>
      </c>
      <c r="N3" s="23">
        <f>(INDEX(N5:N16,MATCH(MAX(O6:O8),O5:O16,0))/0.9)</f>
        <v>0.29066666666666668</v>
      </c>
      <c r="O3" s="29">
        <f>(MAX(O6:O8)*0.85)</f>
        <v>13.030342087155963</v>
      </c>
      <c r="P3" s="49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(B11*J3)</f>
        <v>14.989305487053093</v>
      </c>
      <c r="K4" s="4">
        <f>(J4/D11-1)</f>
        <v>6.3174038196094324</v>
      </c>
      <c r="R4" t="s">
        <v>5</v>
      </c>
      <c r="S4" t="s">
        <v>6</v>
      </c>
      <c r="T4" t="s">
        <v>7</v>
      </c>
    </row>
    <row r="5" spans="2:21">
      <c r="B5" s="1">
        <v>1.47992576</v>
      </c>
      <c r="C5" s="28">
        <f>(D5/B5)</f>
        <v>7.9058019775262238</v>
      </c>
      <c r="D5" s="28">
        <v>11.7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(B5)+B7+B8+B9</f>
        <v>0.69832575999999991</v>
      </c>
      <c r="S5" s="28">
        <f>(T5/R5)</f>
        <v>9.0296415243224022</v>
      </c>
      <c r="T5" s="28">
        <f>(D5)+(B7+B8+B9)*6.9017</f>
        <v>6.3056312799999992</v>
      </c>
    </row>
    <row r="6" spans="2:21">
      <c r="B6" s="2">
        <v>2.5116100000000001E-3</v>
      </c>
      <c r="C6" s="31">
        <v>0</v>
      </c>
      <c r="D6" s="32">
        <f>(B6*C6)</f>
        <v>0</v>
      </c>
      <c r="E6" s="28">
        <f>(B6*J3)</f>
        <v>5.3717582945580405E-2</v>
      </c>
      <c r="M6" t="s">
        <v>10</v>
      </c>
      <c r="N6" s="23">
        <f>-B7</f>
        <v>0.25</v>
      </c>
      <c r="O6" s="28">
        <f>P6/N6</f>
        <v>10.198829079999999</v>
      </c>
      <c r="P6" s="28">
        <f>-D7</f>
        <v>2.5497072699999999</v>
      </c>
      <c r="Q6" t="s">
        <v>11</v>
      </c>
      <c r="R6" s="2">
        <f>(B6)</f>
        <v>2.5116100000000001E-3</v>
      </c>
      <c r="S6" s="31">
        <f>(T6/R6)</f>
        <v>0</v>
      </c>
      <c r="T6" s="32">
        <f>(D6)</f>
        <v>0</v>
      </c>
    </row>
    <row r="7" spans="2:21">
      <c r="B7" s="1">
        <v>-0.25</v>
      </c>
      <c r="C7" s="28">
        <f>D7/B7</f>
        <v>10.198829079999999</v>
      </c>
      <c r="D7" s="28">
        <f>-2.54970727</f>
        <v>-2.5497072699999999</v>
      </c>
      <c r="N7" s="23">
        <f>-B8</f>
        <v>0.27</v>
      </c>
      <c r="O7" s="28">
        <f>C8</f>
        <v>11.450249925925926</v>
      </c>
      <c r="P7" s="28">
        <f>-D8</f>
        <v>3.0915674800000001</v>
      </c>
      <c r="Q7" t="s">
        <v>11</v>
      </c>
      <c r="R7" s="1">
        <f>(B7)-B7</f>
        <v>0</v>
      </c>
      <c r="S7" s="28">
        <v>0</v>
      </c>
      <c r="T7" s="28">
        <f>(D7)-B7*6.9017</f>
        <v>-0.82428226999999987</v>
      </c>
    </row>
    <row r="8" spans="2:21">
      <c r="B8" s="1">
        <v>-0.27</v>
      </c>
      <c r="C8" s="28">
        <f>D8/B8</f>
        <v>11.450249925925926</v>
      </c>
      <c r="D8" s="28">
        <v>-3.0915674800000001</v>
      </c>
      <c r="N8" s="23">
        <f>-B9</f>
        <v>0.2616</v>
      </c>
      <c r="O8" s="28">
        <f>P8/N8</f>
        <v>15.329814220183486</v>
      </c>
      <c r="P8" s="28">
        <f>-D9</f>
        <v>4.0102793999999999</v>
      </c>
      <c r="Q8" t="s">
        <v>11</v>
      </c>
      <c r="R8" s="1">
        <f>(B8)-B8</f>
        <v>0</v>
      </c>
      <c r="S8" s="28">
        <v>0</v>
      </c>
      <c r="T8" s="28">
        <f>(D8)-B8*6.9017</f>
        <v>-1.2281084799999999</v>
      </c>
      <c r="U8" s="29"/>
    </row>
    <row r="9" spans="2:21">
      <c r="B9" s="1">
        <v>-0.2616</v>
      </c>
      <c r="C9" s="28">
        <f>D9/B9</f>
        <v>15.329814220183486</v>
      </c>
      <c r="D9" s="28">
        <f>-4.0102794</f>
        <v>-4.0102793999999999</v>
      </c>
      <c r="N9" s="23">
        <f>4*($B$5+B6)/5-N8-N7-N6</f>
        <v>0.40434989599999982</v>
      </c>
      <c r="O9" s="28">
        <f>($S$5*[1]Params!K11)</f>
        <v>45.148207621612009</v>
      </c>
      <c r="P9" s="28">
        <f>(O9*N9)</f>
        <v>18.255673056385216</v>
      </c>
      <c r="R9" s="1">
        <f>(B9)-B9</f>
        <v>0</v>
      </c>
      <c r="S9" s="28">
        <v>0</v>
      </c>
      <c r="T9" s="28">
        <f>(D9)-B9*6.9017</f>
        <v>-2.20479468</v>
      </c>
      <c r="U9" s="29"/>
    </row>
    <row r="10" spans="2:21">
      <c r="C10" s="28"/>
      <c r="D10" s="28"/>
      <c r="F10" t="s">
        <v>12</v>
      </c>
      <c r="G10" s="28">
        <f>(D11/B11)</f>
        <v>2.9228547701444638</v>
      </c>
      <c r="O10" s="28"/>
      <c r="P10" s="28"/>
      <c r="R10" s="1"/>
      <c r="S10" s="28"/>
      <c r="T10" s="28"/>
      <c r="U10" s="29"/>
    </row>
    <row r="11" spans="2:21">
      <c r="B11">
        <f>(SUM(B5:B10))</f>
        <v>0.7008373699999999</v>
      </c>
      <c r="C11" s="28"/>
      <c r="D11" s="28">
        <f>(SUM(D5:D10))</f>
        <v>2.0484458500000002</v>
      </c>
      <c r="O11" s="28"/>
      <c r="P11" s="28">
        <f>(SUM(P6:P9))</f>
        <v>27.907227206385215</v>
      </c>
      <c r="R11" s="1"/>
      <c r="S11" s="28"/>
      <c r="T11" s="29"/>
    </row>
    <row r="22" spans="18:20">
      <c r="R22">
        <f>(SUM(R5:R21))</f>
        <v>0.7008373699999999</v>
      </c>
      <c r="T22" s="28">
        <f>(SUM(T5:T21))</f>
        <v>2.0484458499999993</v>
      </c>
    </row>
  </sheetData>
  <conditionalFormatting sqref="C5 G10 O9 S5">
    <cfRule type="cellIs" dxfId="151" priority="9" operator="lessThan">
      <formula>$J$3</formula>
    </cfRule>
    <cfRule type="cellIs" dxfId="150" priority="10" operator="greaterThan">
      <formula>$J$3</formula>
    </cfRule>
  </conditionalFormatting>
  <conditionalFormatting sqref="O3">
    <cfRule type="cellIs" dxfId="149" priority="3" operator="greaterThan">
      <formula>$J$3</formula>
    </cfRule>
    <cfRule type="cellIs" dxfId="148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91.653148608374181</v>
      </c>
      <c r="M3" t="s">
        <v>4</v>
      </c>
      <c r="N3" s="23">
        <f>(INDEX(N5:N16,MATCH(MAX(O6),O5:O16,0))/0.9)</f>
        <v>3.6444444444444446E-2</v>
      </c>
      <c r="O3" s="29">
        <f>(MAX(O6)*0.85)</f>
        <v>76.398716280487804</v>
      </c>
      <c r="P3" s="49">
        <f>(O3*N3)</f>
        <v>2.7843087711111112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(B16*J3)</f>
        <v>12.055402597527451</v>
      </c>
      <c r="K4" s="4">
        <f>(J4/D16-1)</f>
        <v>0.72447010631163367</v>
      </c>
      <c r="O4" s="28"/>
      <c r="P4" s="2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8">
        <f>(D5/B5)</f>
        <v>65.731785393608504</v>
      </c>
      <c r="D5" s="28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8">
        <f>(T5/R5)</f>
        <v>65.731785393608504</v>
      </c>
      <c r="T5" s="28">
        <f>(D5)</f>
        <v>0.5</v>
      </c>
    </row>
    <row r="6" spans="2:21">
      <c r="B6" s="2">
        <v>1.3752899999999999E-3</v>
      </c>
      <c r="C6" s="31">
        <v>0</v>
      </c>
      <c r="D6" s="32">
        <f>(B6*C6)</f>
        <v>0</v>
      </c>
      <c r="E6" s="28">
        <f>(B6*J3)</f>
        <v>0.12604965874961091</v>
      </c>
      <c r="M6" t="s">
        <v>10</v>
      </c>
      <c r="N6" s="54">
        <f>-B14</f>
        <v>3.2800000000000003E-2</v>
      </c>
      <c r="O6" s="28">
        <f>P6/N6</f>
        <v>89.880842682926826</v>
      </c>
      <c r="P6" s="28">
        <f>-D14</f>
        <v>2.9480916399999999</v>
      </c>
      <c r="Q6" t="s">
        <v>11</v>
      </c>
      <c r="R6" s="2">
        <f>(B6)</f>
        <v>1.3752899999999999E-3</v>
      </c>
      <c r="S6" s="31">
        <f>(T6/R6)</f>
        <v>0</v>
      </c>
      <c r="T6" s="32">
        <f>(D6)</f>
        <v>0</v>
      </c>
    </row>
    <row r="7" spans="2:21">
      <c r="B7" s="1">
        <v>0.14485500000000001</v>
      </c>
      <c r="C7" s="28">
        <f t="shared" ref="C7:C14" si="0">(D7/B7)</f>
        <v>68.808808808808806</v>
      </c>
      <c r="D7" s="28">
        <v>9.9672999999999998</v>
      </c>
      <c r="N7" s="54">
        <f>$B$16/4</f>
        <v>3.2883220000000005E-2</v>
      </c>
      <c r="O7" s="28">
        <f>($C$7*[1]Params!K9)</f>
        <v>110.09409409409409</v>
      </c>
      <c r="P7" s="28">
        <f>(O7*N7)</f>
        <v>3.6202483167967969</v>
      </c>
      <c r="R7" s="1">
        <f>(B7)</f>
        <v>0.14485500000000001</v>
      </c>
      <c r="S7" s="28">
        <f>(T7/R7)</f>
        <v>68.808808808808806</v>
      </c>
      <c r="T7" s="28">
        <f>(D7)</f>
        <v>9.9672999999999998</v>
      </c>
    </row>
    <row r="8" spans="2:21">
      <c r="B8" s="1">
        <v>-3.0510700000000002E-2</v>
      </c>
      <c r="C8" s="28">
        <f t="shared" si="0"/>
        <v>91.202314270075746</v>
      </c>
      <c r="D8" s="28">
        <v>-2.7826464500000001</v>
      </c>
      <c r="N8" s="54">
        <f>$B$16/4</f>
        <v>3.2883220000000005E-2</v>
      </c>
      <c r="O8" s="28">
        <f>($C$7*[1]Params!K10)</f>
        <v>151.37937937937937</v>
      </c>
      <c r="P8" s="28">
        <f>(O8*N8)</f>
        <v>4.9778414355955958</v>
      </c>
      <c r="R8" s="1">
        <f>(B8+B9)+B11+B12+B10+B13</f>
        <v>1.0495920000000006E-2</v>
      </c>
      <c r="S8" s="28">
        <v>0</v>
      </c>
      <c r="T8" s="28">
        <f>(D8+D9)+D11+D12+D10+D13</f>
        <v>-0.52842171000000038</v>
      </c>
      <c r="U8" s="29">
        <f>R8*J3-T8</f>
        <v>1.4904058255416075</v>
      </c>
    </row>
    <row r="9" spans="2:21">
      <c r="B9" s="1">
        <v>3.3835320000000002E-2</v>
      </c>
      <c r="C9" s="28">
        <f t="shared" si="0"/>
        <v>77.433876789106762</v>
      </c>
      <c r="D9" s="28">
        <v>2.62</v>
      </c>
      <c r="N9" s="54">
        <f>$B$16/4</f>
        <v>3.2883220000000005E-2</v>
      </c>
      <c r="O9" s="28">
        <f>($C$7*[1]Params!K11)</f>
        <v>344.04404404404403</v>
      </c>
      <c r="P9" s="28">
        <f>(O9*N9)</f>
        <v>11.313275989989991</v>
      </c>
      <c r="R9" s="1">
        <f>B14</f>
        <v>-3.2800000000000003E-2</v>
      </c>
      <c r="S9" s="28">
        <f>T9/R9</f>
        <v>89.880842682926826</v>
      </c>
      <c r="T9" s="28">
        <f>D14</f>
        <v>-2.9480916399999999</v>
      </c>
      <c r="U9" s="29"/>
    </row>
    <row r="10" spans="2:21">
      <c r="B10" s="1">
        <v>-3.1253999999999997E-2</v>
      </c>
      <c r="C10" s="28">
        <f t="shared" si="0"/>
        <v>91.251872400332772</v>
      </c>
      <c r="D10" s="28">
        <v>-2.85198602</v>
      </c>
      <c r="O10" s="28"/>
      <c r="P10" s="28"/>
      <c r="R10" s="1"/>
      <c r="S10" s="28"/>
      <c r="T10" s="29"/>
    </row>
    <row r="11" spans="2:21">
      <c r="B11" s="1">
        <v>-3.1260999999999997E-2</v>
      </c>
      <c r="C11" s="28">
        <f t="shared" si="0"/>
        <v>110.89821950673365</v>
      </c>
      <c r="D11" s="28">
        <v>-3.4667892400000002</v>
      </c>
      <c r="O11" s="28"/>
      <c r="P11" s="28">
        <f>(SUM(P6:P9))</f>
        <v>22.859457382382381</v>
      </c>
    </row>
    <row r="12" spans="2:21">
      <c r="B12" s="1">
        <v>3.4712279999999998E-2</v>
      </c>
      <c r="C12" s="28">
        <f t="shared" si="0"/>
        <v>93.914891214290734</v>
      </c>
      <c r="D12" s="28">
        <v>3.26</v>
      </c>
      <c r="O12" s="28"/>
      <c r="P12" s="28"/>
    </row>
    <row r="13" spans="2:21">
      <c r="B13" s="1">
        <v>3.4974020000000001E-2</v>
      </c>
      <c r="C13" s="28">
        <f t="shared" si="0"/>
        <v>77.000013152620141</v>
      </c>
      <c r="D13" s="28">
        <v>2.6930000000000001</v>
      </c>
      <c r="O13" s="28"/>
      <c r="P13" s="28"/>
    </row>
    <row r="14" spans="2:21">
      <c r="B14" s="1">
        <v>-3.2800000000000003E-2</v>
      </c>
      <c r="C14" s="28">
        <f t="shared" si="0"/>
        <v>89.880842682926826</v>
      </c>
      <c r="D14" s="28">
        <v>-2.9480916399999999</v>
      </c>
      <c r="O14" s="28"/>
      <c r="P14" s="28"/>
    </row>
    <row r="15" spans="2:21">
      <c r="F15" t="s">
        <v>12</v>
      </c>
      <c r="G15" s="28">
        <f>(D16/B16)</f>
        <v>53.148586497915957</v>
      </c>
    </row>
    <row r="16" spans="2:21">
      <c r="B16" s="1">
        <f>(SUM(B5:B15))</f>
        <v>0.13153288000000002</v>
      </c>
      <c r="D16" s="28">
        <f>(SUM(D5:D15))</f>
        <v>6.9907866500000004</v>
      </c>
    </row>
    <row r="22" spans="18:20">
      <c r="R22">
        <f>(SUM(R5:R21))</f>
        <v>0.13153288000000002</v>
      </c>
      <c r="T22" s="28">
        <f>(SUM(T5:T21))</f>
        <v>6.9907866500000004</v>
      </c>
    </row>
    <row r="36" spans="9:9">
      <c r="I36" s="29"/>
    </row>
  </sheetData>
  <conditionalFormatting sqref="C5 C7 O7:O9 S5 S7">
    <cfRule type="cellIs" dxfId="147" priority="23" operator="lessThan">
      <formula>$J$3</formula>
    </cfRule>
    <cfRule type="cellIs" dxfId="146" priority="24" operator="greaterThan">
      <formula>$J$3</formula>
    </cfRule>
  </conditionalFormatting>
  <conditionalFormatting sqref="C9">
    <cfRule type="cellIs" dxfId="145" priority="11" operator="lessThan">
      <formula>$J$3</formula>
    </cfRule>
    <cfRule type="cellIs" dxfId="144" priority="12" operator="greaterThan">
      <formula>$J$3</formula>
    </cfRule>
  </conditionalFormatting>
  <conditionalFormatting sqref="C12:C13">
    <cfRule type="cellIs" dxfId="143" priority="7" operator="lessThan">
      <formula>$J$3</formula>
    </cfRule>
    <cfRule type="cellIs" dxfId="142" priority="8" operator="greaterThan">
      <formula>$J$3</formula>
    </cfRule>
  </conditionalFormatting>
  <conditionalFormatting sqref="O7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15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3">
    <cfRule type="cellIs" dxfId="137" priority="1" operator="greaterThan">
      <formula>$J$3</formula>
    </cfRule>
    <cfRule type="cellIs" dxfId="136" priority="2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8">
        <v>0.85865844948296144</v>
      </c>
      <c r="M3" t="s">
        <v>4</v>
      </c>
      <c r="N3" s="40">
        <f>-B7</f>
        <v>3.2590001599999998</v>
      </c>
      <c r="O3" s="37">
        <v>0</v>
      </c>
      <c r="P3" s="28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(B23*J3)</f>
        <v>6.3674182852310963</v>
      </c>
    </row>
    <row r="5" spans="2:16">
      <c r="B5">
        <v>3.2527046099999999</v>
      </c>
      <c r="C5" s="28">
        <v>0</v>
      </c>
      <c r="D5" s="28">
        <f>(B5*C5)</f>
        <v>0</v>
      </c>
      <c r="N5" t="s">
        <v>30</v>
      </c>
      <c r="O5" t="s">
        <v>1</v>
      </c>
      <c r="P5" t="s">
        <v>2</v>
      </c>
    </row>
    <row r="6" spans="2:16">
      <c r="B6" s="55">
        <v>5.8760449999999999E-2</v>
      </c>
      <c r="C6" s="31">
        <v>0</v>
      </c>
      <c r="D6" s="32">
        <f>(B6*C6)</f>
        <v>0</v>
      </c>
      <c r="E6" s="28">
        <f>(B6*J3)</f>
        <v>5.0455156887921078E-2</v>
      </c>
      <c r="M6" t="s">
        <v>4</v>
      </c>
      <c r="N6" s="54">
        <f>B21</f>
        <v>3.25</v>
      </c>
      <c r="O6" s="37">
        <f>(C21*2)</f>
        <v>1.4265794584615383</v>
      </c>
      <c r="P6" s="28">
        <f>(N6*O6)</f>
        <v>4.6363832399999998</v>
      </c>
    </row>
    <row r="7" spans="2:16">
      <c r="B7" s="54">
        <f>-3.25700016-0.002</f>
        <v>-3.2590001599999998</v>
      </c>
      <c r="C7" s="28">
        <f>(D7/B7)</f>
        <v>1.6561619039625946</v>
      </c>
      <c r="D7" s="28">
        <v>-5.3974319099999999</v>
      </c>
    </row>
    <row r="8" spans="2:16">
      <c r="B8">
        <v>0.31639059000000003</v>
      </c>
      <c r="C8" s="28">
        <v>0</v>
      </c>
      <c r="D8" s="28">
        <f t="shared" ref="D8:D20" si="0">(B8*C8)</f>
        <v>0</v>
      </c>
    </row>
    <row r="9" spans="2:16">
      <c r="B9">
        <v>0.31639059000000003</v>
      </c>
      <c r="C9" s="28">
        <v>0</v>
      </c>
      <c r="D9" s="28">
        <f t="shared" si="0"/>
        <v>0</v>
      </c>
      <c r="N9" s="20"/>
      <c r="O9" s="37"/>
      <c r="P9" s="28"/>
    </row>
    <row r="10" spans="2:16">
      <c r="B10">
        <v>0.31639059000000003</v>
      </c>
      <c r="C10" s="28">
        <v>0</v>
      </c>
      <c r="D10" s="28">
        <f t="shared" si="0"/>
        <v>0</v>
      </c>
      <c r="O10" s="37"/>
    </row>
    <row r="11" spans="2:16">
      <c r="B11">
        <v>0.31639059000000003</v>
      </c>
      <c r="C11" s="28">
        <v>0</v>
      </c>
      <c r="D11" s="28">
        <f t="shared" si="0"/>
        <v>0</v>
      </c>
    </row>
    <row r="12" spans="2:16">
      <c r="B12">
        <v>0.31639059000000003</v>
      </c>
      <c r="C12" s="28">
        <v>0</v>
      </c>
      <c r="D12" s="28">
        <f t="shared" si="0"/>
        <v>0</v>
      </c>
    </row>
    <row r="13" spans="2:16">
      <c r="B13">
        <v>0.31639059000000003</v>
      </c>
      <c r="C13" s="28">
        <v>0</v>
      </c>
      <c r="D13" s="28">
        <f t="shared" si="0"/>
        <v>0</v>
      </c>
    </row>
    <row r="14" spans="2:16">
      <c r="B14">
        <v>0.31639059000000003</v>
      </c>
      <c r="C14" s="28">
        <v>0</v>
      </c>
      <c r="D14" s="28">
        <f t="shared" si="0"/>
        <v>0</v>
      </c>
    </row>
    <row r="15" spans="2:16">
      <c r="B15">
        <v>0.31639059000000003</v>
      </c>
      <c r="C15" s="28">
        <v>0</v>
      </c>
      <c r="D15" s="28">
        <f t="shared" si="0"/>
        <v>0</v>
      </c>
    </row>
    <row r="16" spans="2:16">
      <c r="B16">
        <v>0.31639059000000003</v>
      </c>
      <c r="C16" s="28">
        <v>0</v>
      </c>
      <c r="D16" s="28">
        <f t="shared" si="0"/>
        <v>0</v>
      </c>
    </row>
    <row r="17" spans="2:4">
      <c r="B17">
        <v>0.31639059000000003</v>
      </c>
      <c r="C17" s="28">
        <v>0</v>
      </c>
      <c r="D17" s="28">
        <f t="shared" si="0"/>
        <v>0</v>
      </c>
    </row>
    <row r="18" spans="2:4">
      <c r="B18">
        <v>0.31639059000000003</v>
      </c>
      <c r="C18" s="28">
        <v>0</v>
      </c>
      <c r="D18" s="28">
        <f t="shared" si="0"/>
        <v>0</v>
      </c>
    </row>
    <row r="19" spans="2:4">
      <c r="B19">
        <v>0.31639059000000003</v>
      </c>
      <c r="C19" s="28">
        <v>0</v>
      </c>
      <c r="D19" s="28">
        <f t="shared" si="0"/>
        <v>0</v>
      </c>
    </row>
    <row r="20" spans="2:4">
      <c r="B20">
        <v>0.31639059000000003</v>
      </c>
      <c r="C20" s="28">
        <v>0</v>
      </c>
      <c r="D20" s="28">
        <f t="shared" si="0"/>
        <v>0</v>
      </c>
    </row>
    <row r="21" spans="2:4">
      <c r="B21" s="54">
        <v>3.25</v>
      </c>
      <c r="C21" s="28">
        <f>D21/B21</f>
        <v>0.71328972923076917</v>
      </c>
      <c r="D21" s="28">
        <v>2.3181916199999999</v>
      </c>
    </row>
    <row r="23" spans="2:4">
      <c r="B23">
        <f>(SUM(B5:B22))</f>
        <v>7.4155425700000013</v>
      </c>
      <c r="D23" s="28">
        <f>(SUM(D5:D22))</f>
        <v>-3.07924029</v>
      </c>
    </row>
  </sheetData>
  <conditionalFormatting sqref="C21 O6">
    <cfRule type="cellIs" dxfId="135" priority="7" operator="lessThan">
      <formula>$J$3</formula>
    </cfRule>
    <cfRule type="cellIs" dxfId="134" priority="8" operator="greaterThan">
      <formula>$J$3</formula>
    </cfRule>
  </conditionalFormatting>
  <conditionalFormatting sqref="O3">
    <cfRule type="cellIs" dxfId="133" priority="3" operator="greaterThan">
      <formula>$J$3</formula>
    </cfRule>
    <cfRule type="cellIs" dxfId="132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1"/>
  <sheetViews>
    <sheetView workbookViewId="0">
      <selection activeCell="M24" sqref="M24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2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1.891978730597081E-4</v>
      </c>
      <c r="M3" t="s">
        <v>4</v>
      </c>
      <c r="N3">
        <f>250000</f>
        <v>250000</v>
      </c>
      <c r="O3" s="59">
        <f>(MAX(S27)*0.5)</f>
        <v>9.6108795000000003E-5</v>
      </c>
      <c r="P3" s="28">
        <f>(O3*N3)</f>
        <v>24.02719875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8">
        <f>(B41*J3)</f>
        <v>41.667970119593022</v>
      </c>
      <c r="R4" t="s">
        <v>5</v>
      </c>
      <c r="S4" t="s">
        <v>6</v>
      </c>
      <c r="T4" t="s">
        <v>7</v>
      </c>
    </row>
    <row r="5" spans="2:20">
      <c r="B5" s="39">
        <v>0.2363634506</v>
      </c>
      <c r="C5" s="37">
        <v>115.55</v>
      </c>
      <c r="D5" s="28">
        <f>(B5*C5)</f>
        <v>27.311796716829999</v>
      </c>
      <c r="N5" t="s">
        <v>30</v>
      </c>
      <c r="O5" t="s">
        <v>1</v>
      </c>
      <c r="P5" t="s">
        <v>2</v>
      </c>
      <c r="R5" s="39">
        <f t="shared" ref="R5:R12" si="0">(B5)</f>
        <v>0.2363634506</v>
      </c>
      <c r="S5" s="37">
        <v>115.55</v>
      </c>
      <c r="T5" s="28">
        <f>(R5*S5)</f>
        <v>27.311796716829999</v>
      </c>
    </row>
    <row r="6" spans="2:20">
      <c r="B6" s="39">
        <v>0.3</v>
      </c>
      <c r="C6" s="37">
        <v>91.3</v>
      </c>
      <c r="D6" s="28">
        <f>(B6*C6)</f>
        <v>27.389999999999997</v>
      </c>
      <c r="M6" t="s">
        <v>4</v>
      </c>
      <c r="N6">
        <f>(INDEX(B5:B17,MATCH(O6/2,C5:C17,0)))</f>
        <v>40000</v>
      </c>
      <c r="O6" s="37">
        <f>(MIN(C5:C8,C14:C16)*2)</f>
        <v>5.0000000000000001E-4</v>
      </c>
      <c r="P6" s="28">
        <f>(N6*O6)</f>
        <v>20</v>
      </c>
      <c r="R6" s="39">
        <f t="shared" si="0"/>
        <v>0.3</v>
      </c>
      <c r="S6" s="37">
        <v>91.3</v>
      </c>
      <c r="T6" s="28">
        <f>(R6*S6)</f>
        <v>27.389999999999997</v>
      </c>
    </row>
    <row r="7" spans="2:20">
      <c r="B7" s="39">
        <v>2.7904138700000001</v>
      </c>
      <c r="C7" s="37">
        <v>6.5</v>
      </c>
      <c r="D7" s="28">
        <f>(B7*C7)</f>
        <v>18.137690155000001</v>
      </c>
      <c r="N7" s="21">
        <f>B41/4</f>
        <v>55058.71900901763</v>
      </c>
      <c r="O7" s="37">
        <v>5.0000000000000001E-4</v>
      </c>
      <c r="P7" s="28">
        <f>(N7*O7)</f>
        <v>27.529359504508815</v>
      </c>
      <c r="R7" s="39">
        <f t="shared" si="0"/>
        <v>2.7904138700000001</v>
      </c>
      <c r="S7" s="37">
        <v>6.5</v>
      </c>
      <c r="T7" s="28">
        <f>(R7*S7)</f>
        <v>18.137690155000001</v>
      </c>
    </row>
    <row r="8" spans="2:20">
      <c r="B8" s="39">
        <v>722</v>
      </c>
      <c r="C8" s="37">
        <f t="shared" ref="C8:C16" si="1">(D8/B8)</f>
        <v>2.077562326869806E-2</v>
      </c>
      <c r="D8" s="28">
        <v>15</v>
      </c>
      <c r="R8" s="39">
        <f t="shared" si="0"/>
        <v>722</v>
      </c>
      <c r="S8" s="37">
        <f t="shared" ref="S8:S13" si="2">(T8/R8)</f>
        <v>2.077562326869806E-2</v>
      </c>
      <c r="T8" s="28">
        <v>15</v>
      </c>
    </row>
    <row r="9" spans="2:20">
      <c r="B9" s="39">
        <f>(891400)</f>
        <v>891400</v>
      </c>
      <c r="C9" s="37">
        <f t="shared" si="1"/>
        <v>1.1218308279111509E-5</v>
      </c>
      <c r="D9" s="28">
        <v>10</v>
      </c>
      <c r="R9" s="39">
        <f t="shared" si="0"/>
        <v>891400</v>
      </c>
      <c r="S9" s="37">
        <f t="shared" si="2"/>
        <v>1.1218308279111509E-5</v>
      </c>
      <c r="T9" s="28">
        <v>10</v>
      </c>
    </row>
    <row r="10" spans="2:20">
      <c r="B10" s="39">
        <v>-200000</v>
      </c>
      <c r="C10" s="37">
        <f t="shared" si="1"/>
        <v>6.0000000000000002E-5</v>
      </c>
      <c r="D10" s="28">
        <v>-12</v>
      </c>
      <c r="O10" s="37"/>
      <c r="R10" s="39">
        <f t="shared" si="0"/>
        <v>-200000</v>
      </c>
      <c r="S10" s="37">
        <f t="shared" si="2"/>
        <v>6.0000000000000002E-5</v>
      </c>
      <c r="T10" s="28">
        <v>-12</v>
      </c>
    </row>
    <row r="11" spans="2:20">
      <c r="B11" s="39">
        <v>-43873</v>
      </c>
      <c r="C11" s="37">
        <f t="shared" si="1"/>
        <v>2.2793061791990518E-4</v>
      </c>
      <c r="D11" s="28">
        <v>-10</v>
      </c>
      <c r="R11" s="39">
        <f t="shared" si="0"/>
        <v>-43873</v>
      </c>
      <c r="S11" s="37">
        <f t="shared" si="2"/>
        <v>2.2793061791990518E-4</v>
      </c>
      <c r="T11" s="28">
        <v>-10</v>
      </c>
    </row>
    <row r="12" spans="2:20">
      <c r="B12" s="39">
        <v>-20000</v>
      </c>
      <c r="C12" s="37">
        <f t="shared" si="1"/>
        <v>5.0000000000000001E-4</v>
      </c>
      <c r="D12" s="28">
        <v>-10</v>
      </c>
      <c r="R12" s="39">
        <f t="shared" si="0"/>
        <v>-20000</v>
      </c>
      <c r="S12" s="37">
        <f t="shared" si="2"/>
        <v>5.0000000000000001E-4</v>
      </c>
      <c r="T12" s="28">
        <v>-10</v>
      </c>
    </row>
    <row r="13" spans="2:20">
      <c r="B13" s="39">
        <v>-66800</v>
      </c>
      <c r="C13" s="37">
        <f t="shared" si="1"/>
        <v>5.0000000000000001E-4</v>
      </c>
      <c r="D13" s="28">
        <v>-33.4</v>
      </c>
      <c r="R13" s="39">
        <f>(B13+B14+B15+B16)</f>
        <v>43423</v>
      </c>
      <c r="S13" s="37">
        <f t="shared" si="2"/>
        <v>1.0594270317573637E-4</v>
      </c>
      <c r="T13" s="28">
        <f>(D13+D15+D14+D16)</f>
        <v>4.6003500000000006</v>
      </c>
    </row>
    <row r="14" spans="2:20">
      <c r="B14" s="39">
        <v>22223</v>
      </c>
      <c r="C14" s="37">
        <f t="shared" si="1"/>
        <v>4.4999999999999999E-4</v>
      </c>
      <c r="D14" s="28">
        <v>10.000349999999999</v>
      </c>
      <c r="R14" s="39">
        <f t="shared" ref="R14:R20" si="3">(B17)</f>
        <v>-150000</v>
      </c>
      <c r="S14" s="37">
        <v>1E-4</v>
      </c>
      <c r="T14" s="28">
        <f>(S14*R14)</f>
        <v>-15</v>
      </c>
    </row>
    <row r="15" spans="2:20">
      <c r="B15" s="39">
        <v>48000</v>
      </c>
      <c r="C15" s="37">
        <f t="shared" si="1"/>
        <v>3.7500000000000001E-4</v>
      </c>
      <c r="D15" s="28">
        <v>18</v>
      </c>
      <c r="R15" s="51">
        <f t="shared" si="3"/>
        <v>5080.1333021399996</v>
      </c>
      <c r="S15" s="31">
        <v>0</v>
      </c>
      <c r="T15" s="32">
        <f>(R15*S15)</f>
        <v>0</v>
      </c>
    </row>
    <row r="16" spans="2:20">
      <c r="B16" s="39">
        <v>40000</v>
      </c>
      <c r="C16" s="37">
        <f t="shared" si="1"/>
        <v>2.5000000000000001E-4</v>
      </c>
      <c r="D16" s="28">
        <v>10</v>
      </c>
      <c r="R16" s="39">
        <f t="shared" si="3"/>
        <v>-60293.19</v>
      </c>
      <c r="S16" s="37">
        <v>1.829E-4</v>
      </c>
      <c r="T16" s="28">
        <f>(S16*R16)</f>
        <v>-11.027624451000001</v>
      </c>
    </row>
    <row r="17" spans="2:20">
      <c r="B17" s="39">
        <v>-150000</v>
      </c>
      <c r="C17" s="37">
        <v>1E-4</v>
      </c>
      <c r="D17" s="28">
        <f>(C17*B17)</f>
        <v>-15</v>
      </c>
      <c r="R17" s="39">
        <f t="shared" si="3"/>
        <v>-41141.35</v>
      </c>
      <c r="S17" s="37">
        <v>1.828E-4</v>
      </c>
      <c r="T17" s="28">
        <f>(S17*R17)</f>
        <v>-7.5206387799999996</v>
      </c>
    </row>
    <row r="18" spans="2:20">
      <c r="B18" s="51">
        <v>5080.1333021399996</v>
      </c>
      <c r="C18" s="31">
        <v>0</v>
      </c>
      <c r="D18" s="32">
        <f>(B18*C18)</f>
        <v>0</v>
      </c>
      <c r="E18" s="28">
        <f>(B18*J3)</f>
        <v>0.9611504156246794</v>
      </c>
      <c r="R18" s="39">
        <f t="shared" si="3"/>
        <v>-26969.34</v>
      </c>
      <c r="S18" s="37">
        <f>(T18/R18)</f>
        <v>4.0323567428791359E-4</v>
      </c>
      <c r="T18" s="28">
        <v>-10.875</v>
      </c>
    </row>
    <row r="19" spans="2:20">
      <c r="B19" s="39">
        <v>-60293.19</v>
      </c>
      <c r="C19" s="37">
        <v>1.829E-4</v>
      </c>
      <c r="D19" s="28">
        <f>(C19*B19)</f>
        <v>-11.027624451000001</v>
      </c>
      <c r="R19" s="39">
        <f t="shared" si="3"/>
        <v>-39131.89</v>
      </c>
      <c r="S19" s="37">
        <f>(T19/R19)</f>
        <v>4.0317500636948532E-4</v>
      </c>
      <c r="T19" s="28">
        <v>-15.776999999999999</v>
      </c>
    </row>
    <row r="20" spans="2:20">
      <c r="B20" s="39">
        <v>-41141.35</v>
      </c>
      <c r="C20" s="37">
        <v>1.828E-4</v>
      </c>
      <c r="D20" s="28">
        <f>(C20*B20)</f>
        <v>-7.5206387799999996</v>
      </c>
      <c r="N20" s="39"/>
      <c r="R20" s="39">
        <f t="shared" si="3"/>
        <v>-31019.52</v>
      </c>
      <c r="S20" s="37">
        <f>(T20/R20)</f>
        <v>4.0941961706693071E-4</v>
      </c>
      <c r="T20" s="28">
        <v>-12.7</v>
      </c>
    </row>
    <row r="21" spans="2:20">
      <c r="B21" s="39">
        <v>-26969.34</v>
      </c>
      <c r="C21" s="37">
        <f>(D21/B21)</f>
        <v>4.0323567428791359E-4</v>
      </c>
      <c r="D21" s="28">
        <v>-10.875</v>
      </c>
      <c r="R21" s="39">
        <f>(B24+B25+B26)</f>
        <v>-55.650000000002365</v>
      </c>
      <c r="S21" s="37">
        <f>(T21/R21)</f>
        <v>1.4062807235038053E-2</v>
      </c>
      <c r="T21" s="28">
        <f>(D24+D25+D26)</f>
        <v>-0.78259522262990089</v>
      </c>
    </row>
    <row r="22" spans="2:20">
      <c r="B22" s="39">
        <v>-39131.89</v>
      </c>
      <c r="C22" s="37">
        <f>(D22/B22)</f>
        <v>4.0317500636948532E-4</v>
      </c>
      <c r="D22" s="28">
        <v>-15.776999999999999</v>
      </c>
      <c r="R22" s="39">
        <f>(B27+B28)</f>
        <v>0</v>
      </c>
      <c r="S22" s="37">
        <v>0</v>
      </c>
      <c r="T22" s="28">
        <f>(D27+D28)</f>
        <v>-2.4399999999999995</v>
      </c>
    </row>
    <row r="23" spans="2:20">
      <c r="B23" s="39">
        <v>-31019.52</v>
      </c>
      <c r="C23" s="37">
        <f>(D23/B23)</f>
        <v>4.0941961706693071E-4</v>
      </c>
      <c r="D23" s="28">
        <v>-12.7</v>
      </c>
      <c r="R23" s="39">
        <f>(B29+B30)</f>
        <v>4000</v>
      </c>
      <c r="S23" s="37">
        <v>0</v>
      </c>
      <c r="T23" s="28">
        <f>(D29+D30)</f>
        <v>-1.9700000000000006</v>
      </c>
    </row>
    <row r="24" spans="2:20">
      <c r="B24" s="39">
        <v>-20035.650000000001</v>
      </c>
      <c r="C24" s="37">
        <f>(D24/B24)</f>
        <v>5.5501069343894503E-4</v>
      </c>
      <c r="D24" s="28">
        <v>-11.12</v>
      </c>
      <c r="R24" s="39">
        <f>(B31+B32)</f>
        <v>-1.8097233900334686</v>
      </c>
      <c r="S24" s="37">
        <v>0</v>
      </c>
      <c r="T24" s="28">
        <f>(D31+D32)</f>
        <v>-13.982335980000002</v>
      </c>
    </row>
    <row r="25" spans="2:20">
      <c r="B25" s="39">
        <f>(15252.99-15.25299)</f>
        <v>15237.737009999999</v>
      </c>
      <c r="C25" s="37">
        <v>5.1738999999999995E-4</v>
      </c>
      <c r="D25" s="28">
        <f>(B25*C25)</f>
        <v>7.8838527516038983</v>
      </c>
      <c r="N25" s="39"/>
      <c r="R25" s="39">
        <f>(B33+B34+B35)</f>
        <v>8092.1656799999982</v>
      </c>
      <c r="S25" s="37">
        <v>0</v>
      </c>
      <c r="T25" s="28">
        <f>(D33+D34+D35)</f>
        <v>-0.14500000000000135</v>
      </c>
    </row>
    <row r="26" spans="2:20">
      <c r="B26" s="39">
        <f>(4747.01-4.74701)</f>
        <v>4742.2629900000002</v>
      </c>
      <c r="C26" s="37">
        <v>5.1738000000000001E-4</v>
      </c>
      <c r="D26" s="28">
        <f>(B26*C26)</f>
        <v>2.4535520257662</v>
      </c>
      <c r="R26" s="39">
        <f>B38+B37+B36</f>
        <v>64000</v>
      </c>
      <c r="S26" s="37">
        <v>0</v>
      </c>
      <c r="T26" s="29">
        <f>D38+D37+D36</f>
        <v>-29.411918220000004</v>
      </c>
    </row>
    <row r="27" spans="2:20">
      <c r="B27" s="39">
        <v>-40000</v>
      </c>
      <c r="C27" s="37">
        <f t="shared" ref="C27:C39" si="4">(D27/B27)</f>
        <v>3.1099999999999997E-4</v>
      </c>
      <c r="D27" s="28">
        <v>-12.44</v>
      </c>
      <c r="R27" s="39">
        <f>B39</f>
        <v>-184000</v>
      </c>
      <c r="S27" s="37">
        <f>T27/R27</f>
        <v>1.9221759000000001E-4</v>
      </c>
      <c r="T27" s="29">
        <f>D39</f>
        <v>-35.36803656</v>
      </c>
    </row>
    <row r="28" spans="2:20">
      <c r="B28" s="39">
        <v>40000</v>
      </c>
      <c r="C28" s="37">
        <f t="shared" si="4"/>
        <v>2.5000000000000001E-4</v>
      </c>
      <c r="D28" s="28">
        <v>10</v>
      </c>
    </row>
    <row r="29" spans="2:20">
      <c r="B29" s="39">
        <v>-40000</v>
      </c>
      <c r="C29" s="37">
        <f t="shared" si="4"/>
        <v>3.0975000000000002E-4</v>
      </c>
      <c r="D29" s="28">
        <v>-12.39</v>
      </c>
      <c r="N29">
        <f>J3*0.97</f>
        <v>1.8352193686791684E-4</v>
      </c>
    </row>
    <row r="30" spans="2:20">
      <c r="B30" s="39">
        <v>44000</v>
      </c>
      <c r="C30" s="37">
        <f t="shared" si="4"/>
        <v>2.3681818181818182E-4</v>
      </c>
      <c r="D30" s="28">
        <v>10.42</v>
      </c>
    </row>
    <row r="31" spans="2:20">
      <c r="B31" s="39">
        <v>-270017.67672339</v>
      </c>
      <c r="C31" s="37">
        <f t="shared" si="4"/>
        <v>1.7847844839198777E-4</v>
      </c>
      <c r="D31" s="28">
        <v>-48.192335980000003</v>
      </c>
    </row>
    <row r="32" spans="2:20">
      <c r="B32" s="39">
        <f>(272743.3*0.99)</f>
        <v>270015.86699999997</v>
      </c>
      <c r="C32" s="37">
        <f t="shared" si="4"/>
        <v>1.2669625818693094E-4</v>
      </c>
      <c r="D32" s="28">
        <v>34.21</v>
      </c>
      <c r="E32" s="29"/>
    </row>
    <row r="33" spans="2:20">
      <c r="B33" s="39">
        <v>-33998.230000000003</v>
      </c>
      <c r="C33" s="37">
        <f t="shared" si="4"/>
        <v>1.8971575873214574E-4</v>
      </c>
      <c r="D33" s="28">
        <v>-6.45</v>
      </c>
    </row>
    <row r="34" spans="2:20">
      <c r="B34" s="39">
        <v>-20001.77</v>
      </c>
      <c r="C34" s="37">
        <f t="shared" si="4"/>
        <v>1.897332086110379E-4</v>
      </c>
      <c r="D34" s="28">
        <v>-3.7949999999999999</v>
      </c>
    </row>
    <row r="35" spans="2:20">
      <c r="B35" s="39">
        <f>(62154.32-62.15432)</f>
        <v>62092.165679999998</v>
      </c>
      <c r="C35" s="37">
        <f t="shared" si="4"/>
        <v>1.6266142257062921E-4</v>
      </c>
      <c r="D35" s="28">
        <v>10.1</v>
      </c>
      <c r="E35" s="28"/>
    </row>
    <row r="36" spans="2:20">
      <c r="B36" s="39">
        <v>-62000</v>
      </c>
      <c r="C36" s="37">
        <f t="shared" si="4"/>
        <v>2.5846530951612908E-4</v>
      </c>
      <c r="D36" s="28">
        <v>-16.024849190000001</v>
      </c>
      <c r="E36" s="28"/>
    </row>
    <row r="37" spans="2:20">
      <c r="B37" s="39">
        <v>-150000</v>
      </c>
      <c r="C37" s="37">
        <f t="shared" si="4"/>
        <v>2.5668117026666668E-4</v>
      </c>
      <c r="D37" s="28">
        <v>-38.502175540000003</v>
      </c>
      <c r="E37" s="28"/>
    </row>
    <row r="38" spans="2:20">
      <c r="B38" s="39">
        <v>276000</v>
      </c>
      <c r="C38" s="37">
        <f t="shared" si="4"/>
        <v>9.0996762717391301E-5</v>
      </c>
      <c r="D38" s="28">
        <f>25.11510651</f>
        <v>25.11510651</v>
      </c>
      <c r="E38" s="28">
        <f>B38*$J$3</f>
        <v>52.218612964479433</v>
      </c>
    </row>
    <row r="39" spans="2:20">
      <c r="B39" s="39">
        <v>-184000</v>
      </c>
      <c r="C39" s="37">
        <f t="shared" si="4"/>
        <v>1.9221759000000001E-4</v>
      </c>
      <c r="D39" s="28">
        <f>-35.40344*0.999</f>
        <v>-35.36803656</v>
      </c>
      <c r="E39" s="28"/>
    </row>
    <row r="41" spans="2:20">
      <c r="B41">
        <f>(SUM(B5:B40))</f>
        <v>220234.87603607052</v>
      </c>
      <c r="D41" s="28">
        <f>(SUM(D5:D40))</f>
        <v>-86.560312341799914</v>
      </c>
      <c r="F41" t="s">
        <v>12</v>
      </c>
      <c r="G41" s="37">
        <f>(D41/B41)</f>
        <v>-3.9303635236965324E-4</v>
      </c>
      <c r="R41">
        <f>(SUM(R5:R40))</f>
        <v>220234.87603607052</v>
      </c>
      <c r="T41" s="28">
        <f>(SUM(T5:T40))</f>
        <v>-86.560312341799914</v>
      </c>
    </row>
  </sheetData>
  <conditionalFormatting sqref="C5:C9 C14:C16 C25:C26 C28 C30 C32 C35 C38 G41 O6:O7 S5:S9 S13">
    <cfRule type="cellIs" dxfId="131" priority="23" operator="lessThan">
      <formula>$J$3</formula>
    </cfRule>
    <cfRule type="cellIs" dxfId="130" priority="24" operator="greaterThan">
      <formula>$J$3</formula>
    </cfRule>
  </conditionalFormatting>
  <conditionalFormatting sqref="O3">
    <cfRule type="cellIs" dxfId="129" priority="9" operator="greaterThan">
      <formula>$J$3</formula>
    </cfRule>
    <cfRule type="cellIs" dxfId="128" priority="10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I12" sqref="I12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8">
        <v>1.098409383288709</v>
      </c>
      <c r="N3" s="18"/>
      <c r="O3" s="29"/>
      <c r="P3" s="28"/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(B18*J3)</f>
        <v>71.476248691121526</v>
      </c>
      <c r="K4" s="4">
        <f>(J4/D18-1)</f>
        <v>0.26358281676075035</v>
      </c>
      <c r="O4" s="28"/>
      <c r="P4" s="28"/>
      <c r="R4" t="s">
        <v>5</v>
      </c>
      <c r="S4" t="s">
        <v>6</v>
      </c>
      <c r="T4" t="s">
        <v>7</v>
      </c>
    </row>
    <row r="5" spans="2:21">
      <c r="B5" s="18">
        <v>12.2</v>
      </c>
      <c r="C5" s="28">
        <f>(D5/B5)</f>
        <v>0.8606557377049181</v>
      </c>
      <c r="D5" s="28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8">
        <f>(T5/R5)</f>
        <v>0.8606557377049181</v>
      </c>
      <c r="T5" s="28">
        <f>D5</f>
        <v>10.5</v>
      </c>
    </row>
    <row r="6" spans="2:21">
      <c r="B6" s="19">
        <v>0.33117179000000002</v>
      </c>
      <c r="C6" s="31">
        <v>0</v>
      </c>
      <c r="D6" s="32">
        <f>(B6*C6)</f>
        <v>0</v>
      </c>
      <c r="E6" s="28">
        <f>(B6*J3)</f>
        <v>0.36376220161651784</v>
      </c>
      <c r="M6" t="s">
        <v>10</v>
      </c>
      <c r="N6" s="18">
        <f>($B$7+$R$9+$R$6)/5</f>
        <v>10.339804961777777</v>
      </c>
      <c r="O6" s="28">
        <f>($S$7*[1]Params!K8)</f>
        <v>1.1863149509165136</v>
      </c>
      <c r="P6" s="28">
        <f>(O6*N6)</f>
        <v>12.266265215717727</v>
      </c>
      <c r="R6" s="51">
        <f>(B6)</f>
        <v>0.33117179000000002</v>
      </c>
      <c r="S6" s="31">
        <v>0</v>
      </c>
      <c r="T6" s="32">
        <f>(D6)</f>
        <v>0</v>
      </c>
      <c r="U6" s="28">
        <f>(R6*J3)</f>
        <v>0.36376220161651784</v>
      </c>
    </row>
    <row r="7" spans="2:21">
      <c r="B7" s="18">
        <v>50.73694802</v>
      </c>
      <c r="C7" s="28">
        <f t="shared" ref="C7:C14" si="0">(D7/B7)</f>
        <v>0.91254996224347196</v>
      </c>
      <c r="D7" s="28">
        <v>46.3</v>
      </c>
      <c r="E7" t="s">
        <v>15</v>
      </c>
      <c r="N7" s="18">
        <f>($B$7+$R$9+$R$6)/5</f>
        <v>10.339804961777777</v>
      </c>
      <c r="O7" s="28">
        <f>($S$7*[1]Params!K9)</f>
        <v>1.4600799395895552</v>
      </c>
      <c r="P7" s="28">
        <f>(O7*N7)</f>
        <v>15.096941803960279</v>
      </c>
      <c r="R7" s="18">
        <f>B7</f>
        <v>50.73694802</v>
      </c>
      <c r="S7" s="28">
        <f>(T7/R7)</f>
        <v>0.91254996224347196</v>
      </c>
      <c r="T7" s="28">
        <f>D7</f>
        <v>46.3</v>
      </c>
      <c r="U7" t="s">
        <v>15</v>
      </c>
    </row>
    <row r="8" spans="2:21">
      <c r="B8" s="18">
        <v>0.63003905000000004</v>
      </c>
      <c r="C8" s="28">
        <f t="shared" si="0"/>
        <v>0.79360160294826165</v>
      </c>
      <c r="D8" s="28">
        <v>0.5</v>
      </c>
      <c r="N8" s="18">
        <f>($B$7+$R$9+$R$6)/5</f>
        <v>10.339804961777777</v>
      </c>
      <c r="O8" s="28">
        <f>($S$7*[1]Params!K10)</f>
        <v>2.0076099169356385</v>
      </c>
      <c r="P8" s="28">
        <f>(O8*N8)</f>
        <v>20.758294980445385</v>
      </c>
      <c r="R8" s="18">
        <f>B8</f>
        <v>0.63003905000000004</v>
      </c>
      <c r="S8" s="28">
        <f>C8</f>
        <v>0.79360160294826165</v>
      </c>
      <c r="T8" s="29">
        <f>D8</f>
        <v>0.5</v>
      </c>
    </row>
    <row r="9" spans="2:21">
      <c r="B9" s="18">
        <v>-1.08</v>
      </c>
      <c r="C9" s="28">
        <f t="shared" si="0"/>
        <v>1.0499999999999998</v>
      </c>
      <c r="D9" s="28">
        <v>-1.1339999999999999</v>
      </c>
      <c r="N9" s="18">
        <f>($B$7+$R$9+$R$6)/5</f>
        <v>10.339804961777777</v>
      </c>
      <c r="O9" s="28">
        <f>($C$7*[1]Params!K11)</f>
        <v>4.5627498112173601</v>
      </c>
      <c r="P9" s="28">
        <f>(O9*N9)</f>
        <v>47.17794313737587</v>
      </c>
      <c r="R9" s="18">
        <f>SUM(B9,B12,B13,B16)</f>
        <v>0.63090499888888907</v>
      </c>
      <c r="S9" s="28">
        <v>0</v>
      </c>
      <c r="T9" s="28">
        <f>SUM(D9,D12,D13,D16)</f>
        <v>-0.16714507569935888</v>
      </c>
      <c r="U9" t="s">
        <v>82</v>
      </c>
    </row>
    <row r="10" spans="2:21">
      <c r="B10" s="18">
        <v>-2.44</v>
      </c>
      <c r="C10" s="28">
        <f t="shared" si="0"/>
        <v>1.0837143524590165</v>
      </c>
      <c r="D10" s="28">
        <v>-2.6442630199999999</v>
      </c>
      <c r="O10" s="28"/>
      <c r="P10" s="28"/>
      <c r="R10" s="18">
        <f>SUM(B10,B11,B14,B15)</f>
        <v>0.54343987111111103</v>
      </c>
      <c r="S10" s="28">
        <v>0</v>
      </c>
      <c r="T10" s="28">
        <f>SUM(D10,D11,D14,D15)</f>
        <v>-0.56652009999999953</v>
      </c>
      <c r="U10" t="s">
        <v>83</v>
      </c>
    </row>
    <row r="11" spans="2:21">
      <c r="B11" s="18">
        <v>-2.44</v>
      </c>
      <c r="C11" s="28">
        <f t="shared" si="0"/>
        <v>1.306959131147541</v>
      </c>
      <c r="D11" s="28">
        <v>-3.18898028</v>
      </c>
      <c r="O11" s="28"/>
      <c r="P11" s="28">
        <f>(SUM(P6:P9))</f>
        <v>95.299445137499262</v>
      </c>
      <c r="R11" s="18"/>
      <c r="S11" s="28"/>
      <c r="T11" s="28"/>
    </row>
    <row r="12" spans="2:21">
      <c r="B12" s="18">
        <v>-2.72</v>
      </c>
      <c r="C12" s="28">
        <f t="shared" si="0"/>
        <v>1.4766262647058821</v>
      </c>
      <c r="D12" s="28">
        <v>-4.0164234399999996</v>
      </c>
      <c r="O12" s="28"/>
      <c r="P12" s="28"/>
      <c r="S12" s="28"/>
      <c r="T12" s="28"/>
    </row>
    <row r="13" spans="2:21">
      <c r="B13" s="18">
        <v>3.0223285400000002</v>
      </c>
      <c r="C13" s="28">
        <f t="shared" si="0"/>
        <v>1.2540000035866385</v>
      </c>
      <c r="D13" s="28">
        <v>3.79</v>
      </c>
      <c r="N13" t="s">
        <v>30</v>
      </c>
      <c r="O13" t="s">
        <v>1</v>
      </c>
      <c r="P13" t="s">
        <v>2</v>
      </c>
      <c r="S13" s="28"/>
      <c r="T13" s="28"/>
    </row>
    <row r="14" spans="2:21">
      <c r="B14" s="18">
        <v>2.7123287600000001</v>
      </c>
      <c r="C14" s="28">
        <f t="shared" si="0"/>
        <v>1.0950000028757576</v>
      </c>
      <c r="D14" s="28">
        <v>2.97</v>
      </c>
      <c r="M14" t="s">
        <v>10</v>
      </c>
      <c r="N14" s="18">
        <f>($B$5+$R$10)/5</f>
        <v>2.5486879742222222</v>
      </c>
      <c r="O14" s="28">
        <f>($C$5*[1]Params!K8)</f>
        <v>1.1188524590163935</v>
      </c>
      <c r="P14" s="28">
        <f>(O14*N14)</f>
        <v>2.8516058072240438</v>
      </c>
      <c r="S14" s="28"/>
      <c r="T14" s="28"/>
    </row>
    <row r="15" spans="2:21">
      <c r="B15" s="18">
        <f>2.44/0.9</f>
        <v>2.7111111111111108</v>
      </c>
      <c r="C15" s="28">
        <v>0.84715200000000002</v>
      </c>
      <c r="D15" s="28">
        <f>B15*C15</f>
        <v>2.2967231999999997</v>
      </c>
      <c r="N15" s="18">
        <f>($B$5+$R$10)/5</f>
        <v>2.5486879742222222</v>
      </c>
      <c r="O15" s="28">
        <f>($C$5*[1]Params!K9)</f>
        <v>1.377049180327869</v>
      </c>
      <c r="P15" s="28">
        <f>(O15*N15)</f>
        <v>3.5096686858142081</v>
      </c>
      <c r="S15" s="28"/>
      <c r="T15" s="28"/>
    </row>
    <row r="16" spans="2:21">
      <c r="B16" s="18">
        <f>4.11968757-B15</f>
        <v>1.4085764588888892</v>
      </c>
      <c r="C16" s="28">
        <v>0.84715200000000002</v>
      </c>
      <c r="D16" s="28">
        <f>B16*C16</f>
        <v>1.1932783643006402</v>
      </c>
      <c r="N16" s="18">
        <f>($B$5+$R$10)/5</f>
        <v>2.5486879742222222</v>
      </c>
      <c r="O16" s="28">
        <f>($C$5*[1]Params!K10)</f>
        <v>1.8934426229508199</v>
      </c>
      <c r="P16" s="28">
        <f>(O16*N16)</f>
        <v>4.8257944429945363</v>
      </c>
      <c r="S16" s="28"/>
      <c r="T16" s="28"/>
    </row>
    <row r="17" spans="2:20">
      <c r="B17" s="18"/>
      <c r="F17" t="s">
        <v>12</v>
      </c>
      <c r="G17" s="28">
        <f>(D18/B18)</f>
        <v>0.86928167170279302</v>
      </c>
      <c r="N17" s="18">
        <f>($B$5+$R$10)/5</f>
        <v>2.5486879742222222</v>
      </c>
      <c r="O17" s="28">
        <f>($C$5*[1]Params!K11)</f>
        <v>4.3032786885245908</v>
      </c>
      <c r="P17" s="28">
        <f>(O17*N17)</f>
        <v>10.967714643169399</v>
      </c>
      <c r="R17">
        <f>(SUM(R5:R12))</f>
        <v>65.072503729999994</v>
      </c>
      <c r="S17" s="28"/>
      <c r="T17" s="28">
        <f>(SUM(T5:T12))</f>
        <v>56.56633482430064</v>
      </c>
    </row>
    <row r="18" spans="2:20">
      <c r="B18" s="18">
        <f>(SUM(B5:B17))</f>
        <v>65.072503730000008</v>
      </c>
      <c r="D18" s="28">
        <f>(SUM(D5:D17))</f>
        <v>56.56633482430064</v>
      </c>
      <c r="O18" s="28"/>
      <c r="P18" s="28"/>
    </row>
    <row r="19" spans="2:20">
      <c r="O19" s="28"/>
      <c r="P19" s="28"/>
    </row>
    <row r="20" spans="2:20">
      <c r="O20" s="28"/>
      <c r="P20" s="28">
        <f>(SUM(P14:P17))</f>
        <v>22.154783579202189</v>
      </c>
    </row>
    <row r="27" spans="2:20">
      <c r="H27" s="29"/>
    </row>
  </sheetData>
  <conditionalFormatting sqref="C5 C7:C8 C13:C16 O6:O9 O14:O17 S5 S7">
    <cfRule type="cellIs" dxfId="127" priority="25" operator="lessThan">
      <formula>$J$3</formula>
    </cfRule>
    <cfRule type="cellIs" dxfId="126" priority="26" operator="greaterThan">
      <formula>$J$3</formula>
    </cfRule>
  </conditionalFormatting>
  <conditionalFormatting sqref="S8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17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R19" sqref="R19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96" width="9.140625" style="25" customWidth="1"/>
    <col min="397" max="16384" width="9.140625" style="25"/>
  </cols>
  <sheetData>
    <row r="3" spans="2:16">
      <c r="I3" t="s">
        <v>3</v>
      </c>
      <c r="J3" s="49">
        <v>4.3820598584487239E-2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(B10*J3)</f>
        <v>2.8403946480111655</v>
      </c>
      <c r="K4" s="4">
        <f>(J4/D10-1)</f>
        <v>0.42019732400558274</v>
      </c>
    </row>
    <row r="5" spans="2:16">
      <c r="B5" s="39">
        <v>64.74873341</v>
      </c>
      <c r="C5" s="49">
        <f>(D5/B5)</f>
        <v>3.0888635107897165E-2</v>
      </c>
      <c r="D5" s="28">
        <v>2</v>
      </c>
      <c r="M5" t="s">
        <v>80</v>
      </c>
      <c r="N5" t="s">
        <v>30</v>
      </c>
      <c r="O5" t="s">
        <v>1</v>
      </c>
      <c r="P5" t="s">
        <v>2</v>
      </c>
    </row>
    <row r="6" spans="2:16">
      <c r="B6" s="51">
        <v>6.9976049999999998E-2</v>
      </c>
      <c r="C6" s="31">
        <v>0</v>
      </c>
      <c r="D6" s="32">
        <f>(B6*C6)</f>
        <v>0</v>
      </c>
      <c r="E6" s="28">
        <f>(B6*J3)</f>
        <v>3.0663923975780081E-3</v>
      </c>
      <c r="M6" t="s">
        <v>10</v>
      </c>
      <c r="N6" s="39">
        <f>($B$10/5)</f>
        <v>12.963741891999998</v>
      </c>
      <c r="O6" s="49">
        <f>($C$5*[1]Params!K8)</f>
        <v>4.0155225640266315E-2</v>
      </c>
      <c r="P6" s="28">
        <f>(O6*N6)</f>
        <v>0.52056198081543292</v>
      </c>
    </row>
    <row r="7" spans="2:16">
      <c r="B7" s="39"/>
      <c r="C7" s="28"/>
      <c r="D7" s="30"/>
      <c r="E7" s="28"/>
      <c r="N7" s="39">
        <f>($B$10/5)</f>
        <v>12.963741891999998</v>
      </c>
      <c r="O7" s="49">
        <f>($C$5*[1]Params!K9)</f>
        <v>4.9421816172635469E-2</v>
      </c>
      <c r="P7" s="28">
        <f>(O7*N7)</f>
        <v>0.64069166869591743</v>
      </c>
    </row>
    <row r="8" spans="2:16">
      <c r="N8" s="39">
        <f>($B$10/5)</f>
        <v>12.963741891999998</v>
      </c>
      <c r="O8" s="49">
        <f>($C$5*[1]Params!K10)</f>
        <v>6.7954997237373763E-2</v>
      </c>
      <c r="P8" s="28">
        <f>(O8*N8)</f>
        <v>0.88095104445688643</v>
      </c>
    </row>
    <row r="9" spans="2:16">
      <c r="F9" t="s">
        <v>12</v>
      </c>
      <c r="G9" s="28">
        <f>(D10/B10)</f>
        <v>3.085528879951261E-2</v>
      </c>
      <c r="N9" s="39">
        <f>($B$10/5)</f>
        <v>12.963741891999998</v>
      </c>
      <c r="O9" s="49">
        <f>($C$5*[1]Params!K11)</f>
        <v>0.15444317553948583</v>
      </c>
      <c r="P9" s="28">
        <f>(O9*N9)</f>
        <v>2.0021614646747419</v>
      </c>
    </row>
    <row r="10" spans="2:16">
      <c r="B10" s="39">
        <f>(SUM(B5:B9))</f>
        <v>64.818709459999994</v>
      </c>
      <c r="D10" s="28">
        <f>(SUM(D5:D9))</f>
        <v>2</v>
      </c>
    </row>
    <row r="11" spans="2:16">
      <c r="P11" s="28">
        <f>(SUM(P6:P9))</f>
        <v>4.044366158642978</v>
      </c>
    </row>
    <row r="22" spans="10:10">
      <c r="J22" s="23"/>
    </row>
  </sheetData>
  <conditionalFormatting sqref="C5">
    <cfRule type="cellIs" dxfId="121" priority="11" operator="lessThan">
      <formula>$J$3</formula>
    </cfRule>
    <cfRule type="cellIs" dxfId="120" priority="12" operator="greaterThan">
      <formula>$J$3</formula>
    </cfRule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9">
    <cfRule type="cellIs" dxfId="117" priority="9" operator="lessThan">
      <formula>$J$3</formula>
    </cfRule>
    <cfRule type="cellIs" dxfId="116" priority="10" operator="greaterThan">
      <formula>$J$3</formula>
    </cfRule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9">
    <cfRule type="cellIs" dxfId="113" priority="7" operator="lessThan">
      <formula>$J$3</formula>
    </cfRule>
    <cfRule type="cellIs" dxfId="112" priority="8" operator="greaterThan">
      <formula>$J$3</formula>
    </cfRule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T42" sqref="T42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9">
        <v>1.4031732401365029</v>
      </c>
      <c r="M3" t="s">
        <v>4</v>
      </c>
      <c r="N3" s="23">
        <f>(INDEX(N5:N33,MATCH(MAX(O6:O7),O5:O33,0))/0.85)</f>
        <v>12.929411764705883</v>
      </c>
      <c r="O3" s="29">
        <f>(MAX(O6:O7)*0.75)</f>
        <v>0.92512274385805271</v>
      </c>
      <c r="P3" s="28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(B13*J3)</f>
        <v>49.112780173205181</v>
      </c>
      <c r="K4" s="4">
        <f>(J4/D13-1)</f>
        <v>3.3619536795273106</v>
      </c>
      <c r="R4" t="s">
        <v>5</v>
      </c>
      <c r="S4" t="s">
        <v>6</v>
      </c>
      <c r="T4" t="s">
        <v>7</v>
      </c>
    </row>
    <row r="5" spans="2:22">
      <c r="B5" s="39">
        <v>52.247700000000002</v>
      </c>
      <c r="C5" s="28">
        <f>(D5/B5)</f>
        <v>0.7577367041994193</v>
      </c>
      <c r="D5" s="28">
        <v>39.590000000000003</v>
      </c>
      <c r="N5" t="s">
        <v>30</v>
      </c>
      <c r="O5" t="s">
        <v>1</v>
      </c>
      <c r="P5" t="s">
        <v>2</v>
      </c>
      <c r="R5" s="39">
        <f>(B5)</f>
        <v>52.247700000000002</v>
      </c>
      <c r="S5" s="28">
        <f>(T5/R5)</f>
        <v>0.7577367041994193</v>
      </c>
      <c r="T5" s="28">
        <f>(D5)</f>
        <v>39.590000000000003</v>
      </c>
    </row>
    <row r="6" spans="2:22">
      <c r="B6" s="51">
        <v>0.35252348999999999</v>
      </c>
      <c r="C6" s="31">
        <v>0</v>
      </c>
      <c r="D6" s="32">
        <f>(B6*C6)</f>
        <v>0</v>
      </c>
      <c r="E6" s="28">
        <f>(B6*J3)</f>
        <v>0.49465152768752807</v>
      </c>
      <c r="M6" t="s">
        <v>10</v>
      </c>
      <c r="N6" s="39">
        <f>-B8</f>
        <v>10.99</v>
      </c>
      <c r="O6" s="28">
        <f>($C$5*[1]Params!K8)</f>
        <v>0.98505771545924514</v>
      </c>
      <c r="P6" s="28">
        <f>-D8</f>
        <v>12.416017180000001</v>
      </c>
      <c r="Q6" t="s">
        <v>11</v>
      </c>
      <c r="R6" s="51">
        <v>0.33622554999999998</v>
      </c>
      <c r="S6" s="31">
        <v>0</v>
      </c>
      <c r="T6" s="32">
        <f>(R6*S6)</f>
        <v>0</v>
      </c>
      <c r="U6" s="28">
        <f>(E6)</f>
        <v>0.49465152768752807</v>
      </c>
    </row>
    <row r="7" spans="2:22">
      <c r="B7" s="39">
        <v>2.3809999999999998</v>
      </c>
      <c r="C7" s="28">
        <v>0</v>
      </c>
      <c r="D7" s="30">
        <f>(B7*C7)</f>
        <v>0</v>
      </c>
      <c r="E7" s="28">
        <f>(B7*J3)</f>
        <v>3.3409554847650131</v>
      </c>
      <c r="N7" s="39">
        <f>-B9</f>
        <v>10.99</v>
      </c>
      <c r="O7" s="28">
        <f>P7/N7</f>
        <v>1.233496991810737</v>
      </c>
      <c r="P7" s="28">
        <f>-D9</f>
        <v>13.55613194</v>
      </c>
      <c r="Q7" t="s">
        <v>11</v>
      </c>
      <c r="R7" s="39">
        <f>(B7)</f>
        <v>2.3809999999999998</v>
      </c>
      <c r="S7" s="28">
        <v>0</v>
      </c>
      <c r="T7" s="30">
        <f>(D7)</f>
        <v>0</v>
      </c>
    </row>
    <row r="8" spans="2:22">
      <c r="B8" s="39">
        <v>-10.99</v>
      </c>
      <c r="C8" s="29">
        <f>D8/B8</f>
        <v>1.1297558853503185</v>
      </c>
      <c r="D8" s="28">
        <f>-12.41601718</f>
        <v>-12.416017180000001</v>
      </c>
      <c r="N8" s="39">
        <f>3*($B$13+$N$7+$N$6)/5-N7-N6</f>
        <v>12.208734094000002</v>
      </c>
      <c r="O8" s="28">
        <f>($C$5*[1]Params!K10)</f>
        <v>1.6670207492387226</v>
      </c>
      <c r="P8" s="28">
        <f>N8*O8</f>
        <v>20.35221305663622</v>
      </c>
      <c r="R8" s="39">
        <f>B8</f>
        <v>-10.99</v>
      </c>
      <c r="S8" s="28">
        <f>T8/R8</f>
        <v>1.1297558853503185</v>
      </c>
      <c r="T8" s="28">
        <f>D8</f>
        <v>-12.416017180000001</v>
      </c>
      <c r="V8" s="29"/>
    </row>
    <row r="9" spans="2:22">
      <c r="B9" s="39">
        <v>-10.99</v>
      </c>
      <c r="C9" s="29">
        <f>D9/B9</f>
        <v>1.233496991810737</v>
      </c>
      <c r="D9" s="28">
        <v>-13.55613194</v>
      </c>
      <c r="N9" s="39">
        <f>($B$13+$N$7+$N$6)/5</f>
        <v>11.396244698</v>
      </c>
      <c r="O9" s="28">
        <f>($C$5*[1]Params!K11)</f>
        <v>3.7886835209970964</v>
      </c>
      <c r="P9" s="28">
        <f>(O9*N9)</f>
        <v>43.17676448856313</v>
      </c>
      <c r="R9" s="39">
        <f>B9</f>
        <v>-10.99</v>
      </c>
      <c r="S9" s="28">
        <f>T9/R9</f>
        <v>1.233496991810737</v>
      </c>
      <c r="T9" s="28">
        <f>D9</f>
        <v>-13.55613194</v>
      </c>
      <c r="U9" s="28"/>
      <c r="V9" s="29"/>
    </row>
    <row r="10" spans="2:22">
      <c r="B10" s="39">
        <v>-11</v>
      </c>
      <c r="C10" s="29">
        <f>D10/B10</f>
        <v>1.6782878045454546</v>
      </c>
      <c r="D10" s="28">
        <f>-18.46116585</f>
        <v>-18.46116585</v>
      </c>
      <c r="R10" s="39">
        <f>B10+B11</f>
        <v>2</v>
      </c>
      <c r="S10" s="28">
        <v>0</v>
      </c>
      <c r="T10" s="28">
        <f>D10+D11</f>
        <v>-2.3584969800000017</v>
      </c>
      <c r="U10" s="28">
        <f>-T10+R10*J3</f>
        <v>5.1648434602730076</v>
      </c>
      <c r="V10" s="29"/>
    </row>
    <row r="11" spans="2:22">
      <c r="B11" s="39">
        <v>13</v>
      </c>
      <c r="C11" s="28">
        <f>(D11/B11)</f>
        <v>1.238666836153846</v>
      </c>
      <c r="D11" s="28">
        <v>16.102668869999999</v>
      </c>
      <c r="F11" t="s">
        <v>12</v>
      </c>
      <c r="G11" s="28">
        <f>(D13/B13)</f>
        <v>0.3216845806323555</v>
      </c>
      <c r="P11" s="28">
        <f>(SUM(P6:P9))</f>
        <v>89.501126665199351</v>
      </c>
      <c r="R11" s="1"/>
      <c r="S11" s="28"/>
      <c r="T11" s="28"/>
      <c r="V11" s="29"/>
    </row>
    <row r="12" spans="2:22">
      <c r="G12" s="28"/>
      <c r="P12" s="28"/>
      <c r="R12" s="1"/>
      <c r="S12" s="28"/>
      <c r="T12" s="28"/>
      <c r="V12" s="29"/>
    </row>
    <row r="13" spans="2:22">
      <c r="B13" s="39">
        <f>(SUM(B5:B11))</f>
        <v>35.001223490000001</v>
      </c>
      <c r="D13" s="28">
        <f>(SUM(D5:D11))</f>
        <v>11.259353900000001</v>
      </c>
      <c r="R13" s="1"/>
      <c r="S13" s="28"/>
      <c r="T13" s="28"/>
    </row>
    <row r="14" spans="2:22">
      <c r="R14" s="1"/>
      <c r="S14" s="28"/>
      <c r="T14" s="29"/>
    </row>
    <row r="15" spans="2:22">
      <c r="R15" s="1"/>
      <c r="S15" s="28"/>
      <c r="T15" s="28"/>
    </row>
    <row r="16" spans="2:22">
      <c r="R16" s="1"/>
      <c r="S16" s="28"/>
      <c r="T16" s="28"/>
    </row>
    <row r="17" spans="10:20">
      <c r="S17" s="28"/>
      <c r="T17" s="28"/>
    </row>
    <row r="18" spans="10:20">
      <c r="S18" s="28"/>
      <c r="T18" s="28"/>
    </row>
    <row r="19" spans="10:20">
      <c r="S19" s="28"/>
      <c r="T19" s="28"/>
    </row>
    <row r="20" spans="10:20">
      <c r="S20" s="28"/>
      <c r="T20" s="28"/>
    </row>
    <row r="21" spans="10:20">
      <c r="S21" s="28"/>
      <c r="T21" s="28"/>
    </row>
    <row r="22" spans="10:20">
      <c r="S22" s="28"/>
      <c r="T22" s="28"/>
    </row>
    <row r="23" spans="10:20">
      <c r="S23" s="28"/>
      <c r="T23" s="28"/>
    </row>
    <row r="24" spans="10:20">
      <c r="S24" s="28"/>
      <c r="T24" s="28"/>
    </row>
    <row r="25" spans="10:20">
      <c r="J25" s="23"/>
      <c r="S25" s="28"/>
      <c r="T25" s="28"/>
    </row>
    <row r="26" spans="10:20">
      <c r="S26" s="28"/>
      <c r="T26" s="28"/>
    </row>
    <row r="27" spans="10:20">
      <c r="S27" s="28"/>
      <c r="T27" s="28"/>
    </row>
    <row r="28" spans="10:20">
      <c r="S28" s="28"/>
      <c r="T28" s="28"/>
    </row>
    <row r="29" spans="10:20">
      <c r="S29" s="28"/>
      <c r="T29" s="28"/>
    </row>
    <row r="30" spans="10:20">
      <c r="R30" s="1">
        <f>(SUM(R5:R29))</f>
        <v>34.98492555</v>
      </c>
      <c r="S30" s="28"/>
      <c r="T30" s="28">
        <f>(SUM(T5:T29))</f>
        <v>11.259353900000001</v>
      </c>
    </row>
  </sheetData>
  <conditionalFormatting sqref="C5 G11 O8:O9 S5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O3">
    <cfRule type="cellIs" dxfId="107" priority="5" operator="greaterThan">
      <formula>$J$3</formula>
    </cfRule>
    <cfRule type="cellIs" dxfId="106" priority="6" operator="lessThan">
      <formula>$J$3</formula>
    </cfRule>
  </conditionalFormatting>
  <conditionalFormatting sqref="C11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5"/>
  <sheetViews>
    <sheetView workbookViewId="0">
      <selection activeCell="U13" sqref="U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8">
        <v>4.2817930887369631</v>
      </c>
      <c r="M3" t="s">
        <v>4</v>
      </c>
      <c r="N3" s="23">
        <f>(INDEX(N5:N34,MATCH(MAX(O6:O8,O14:O15),O5:O34,0))/0.85)</f>
        <v>0.45129162776221532</v>
      </c>
      <c r="O3" s="29">
        <f>(MAX(O6:O8,O14:O15)*0.75)</f>
        <v>2.776094565517246</v>
      </c>
      <c r="P3" s="28">
        <f>(O3*N3)</f>
        <v>1.2528282352941178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(B28*J3)</f>
        <v>75.524381298984494</v>
      </c>
      <c r="K4" s="4">
        <f>(J4/D28-1)</f>
        <v>2.7957469112323032</v>
      </c>
      <c r="O4" s="28"/>
      <c r="P4" s="28"/>
      <c r="R4" t="s">
        <v>5</v>
      </c>
      <c r="S4" t="s">
        <v>6</v>
      </c>
      <c r="T4" t="s">
        <v>7</v>
      </c>
    </row>
    <row r="5" spans="2:22">
      <c r="B5" s="1">
        <v>1.79</v>
      </c>
      <c r="C5" s="28">
        <f>(D5/B5)</f>
        <v>1.6759776536312849</v>
      </c>
      <c r="D5" s="28">
        <v>3</v>
      </c>
      <c r="E5" t="s">
        <v>78</v>
      </c>
      <c r="M5" t="s">
        <v>78</v>
      </c>
      <c r="N5" t="s">
        <v>30</v>
      </c>
      <c r="O5" t="s">
        <v>1</v>
      </c>
      <c r="P5" t="s">
        <v>2</v>
      </c>
      <c r="R5" s="1">
        <f>(B5)</f>
        <v>1.79</v>
      </c>
      <c r="S5" s="28">
        <f>(T5/R5)</f>
        <v>1.6759776536312849</v>
      </c>
      <c r="T5" s="28">
        <f>(D5)</f>
        <v>3</v>
      </c>
    </row>
    <row r="6" spans="2:22">
      <c r="B6" s="1">
        <v>24.514161659999999</v>
      </c>
      <c r="C6" s="28">
        <f>(D6/B6)</f>
        <v>1.8887041964624132</v>
      </c>
      <c r="D6" s="28">
        <v>46.3</v>
      </c>
      <c r="E6" t="s">
        <v>15</v>
      </c>
      <c r="M6" t="s">
        <v>10</v>
      </c>
      <c r="N6" s="1">
        <f>-B18</f>
        <v>0.37769784172661802</v>
      </c>
      <c r="O6" s="28">
        <f>P6/N6</f>
        <v>2.1765811428571467</v>
      </c>
      <c r="P6" s="28">
        <f>-D18</f>
        <v>0.82208999999999999</v>
      </c>
      <c r="Q6" t="s">
        <v>11</v>
      </c>
      <c r="R6" s="1">
        <f>B6+B19+B21</f>
        <v>15.684161659999997</v>
      </c>
      <c r="S6" s="28">
        <f>(T6/R6)</f>
        <v>1.9632382442556386</v>
      </c>
      <c r="T6" s="28">
        <f>D6+B19*1.74+B21*1.7718</f>
        <v>30.791745999999996</v>
      </c>
      <c r="U6" s="28" t="str">
        <f>(E6)</f>
        <v>DCA2</v>
      </c>
    </row>
    <row r="7" spans="2:22">
      <c r="B7" s="2">
        <v>0.10363395</v>
      </c>
      <c r="C7" s="31">
        <v>0</v>
      </c>
      <c r="D7" s="32">
        <v>0</v>
      </c>
      <c r="E7" s="29">
        <f>B7*J3</f>
        <v>0.44373913086851202</v>
      </c>
      <c r="N7" s="1">
        <f>-B20</f>
        <v>0.37687523000000001</v>
      </c>
      <c r="O7" s="28">
        <f>($C$5*[1]Params!K9)</f>
        <v>2.6815642458100561</v>
      </c>
      <c r="P7" s="28">
        <f>(O7*N7)</f>
        <v>1.0106151418994416</v>
      </c>
      <c r="Q7" t="s">
        <v>11</v>
      </c>
      <c r="R7" s="2">
        <f>(B7)</f>
        <v>0.10363395</v>
      </c>
      <c r="S7" s="31">
        <v>0</v>
      </c>
      <c r="T7" s="32">
        <f>(D7)</f>
        <v>0</v>
      </c>
    </row>
    <row r="8" spans="2:22">
      <c r="B8" s="1">
        <v>-0.6</v>
      </c>
      <c r="C8" s="28">
        <f t="shared" ref="C8:C20" si="0">(D8/B8)</f>
        <v>1.9313681166666667</v>
      </c>
      <c r="D8" s="28">
        <v>-1.15882087</v>
      </c>
      <c r="N8" s="1">
        <f>-B26</f>
        <v>0.38359788359788299</v>
      </c>
      <c r="O8" s="28">
        <f>P8/N8</f>
        <v>3.7014594206896612</v>
      </c>
      <c r="P8" s="28">
        <f>-D26</f>
        <v>1.419872</v>
      </c>
      <c r="Q8" t="s">
        <v>11</v>
      </c>
      <c r="R8" s="1">
        <f>B10+B13+B8+B17+B23+B24</f>
        <v>1.01011527</v>
      </c>
      <c r="S8" s="28">
        <v>0</v>
      </c>
      <c r="T8" s="28">
        <f>(D10+D13+D8+D17+D23+D24)</f>
        <v>-2.6644444199999988</v>
      </c>
      <c r="U8" t="s">
        <v>82</v>
      </c>
      <c r="V8" s="29">
        <f>-T8+R8*$J$3</f>
        <v>6.9895490019136703</v>
      </c>
    </row>
    <row r="9" spans="2:22">
      <c r="B9" s="1">
        <v>-0.35799999999999998</v>
      </c>
      <c r="C9" s="28">
        <f t="shared" si="0"/>
        <v>2.1201117318435756</v>
      </c>
      <c r="D9" s="28">
        <f>(-0.764+0.005)</f>
        <v>-0.75900000000000001</v>
      </c>
      <c r="N9" s="1">
        <f>(($B$5+$R$9)/5)</f>
        <v>0.39575079610350461</v>
      </c>
      <c r="O9" s="28">
        <f>($C$5*[1]Params!K11)</f>
        <v>8.3798882681564244</v>
      </c>
      <c r="P9" s="28">
        <f>(O9*N9)</f>
        <v>3.3163474533813235</v>
      </c>
      <c r="R9" s="1">
        <f>(B12+B11+B9+B14+B15+B16+B22+B25)</f>
        <v>0.18875398051752301</v>
      </c>
      <c r="S9" s="28">
        <v>0</v>
      </c>
      <c r="T9" s="28">
        <f>(D12+D11+D9+D14)+D15+D16+D22+D25</f>
        <v>-0.32716100000000004</v>
      </c>
      <c r="U9" t="s">
        <v>84</v>
      </c>
      <c r="V9" s="29">
        <f>-T9+R9*$J$3</f>
        <v>1.1353664892515214</v>
      </c>
    </row>
    <row r="10" spans="2:22">
      <c r="B10" s="1">
        <v>-0.6</v>
      </c>
      <c r="C10" s="28">
        <f t="shared" si="0"/>
        <v>2.2549999999999999</v>
      </c>
      <c r="D10" s="28">
        <v>-1.353</v>
      </c>
      <c r="N10" s="1"/>
      <c r="O10" s="28"/>
      <c r="P10" s="28"/>
      <c r="R10" s="1">
        <f>B18</f>
        <v>-0.37769784172661802</v>
      </c>
      <c r="S10" s="28">
        <f>T10/R10</f>
        <v>2.1765811428571467</v>
      </c>
      <c r="T10" s="28">
        <f>D18</f>
        <v>-0.82208999999999999</v>
      </c>
      <c r="U10" t="s">
        <v>85</v>
      </c>
    </row>
    <row r="11" spans="2:22">
      <c r="B11" s="1">
        <v>-0.35742035742035699</v>
      </c>
      <c r="C11" s="28">
        <f t="shared" si="0"/>
        <v>2.5063737456521769</v>
      </c>
      <c r="D11" s="28">
        <v>-0.89582899999999999</v>
      </c>
      <c r="N11" s="1"/>
      <c r="O11" s="28"/>
      <c r="P11" s="28">
        <f>(SUM(P6:P9))</f>
        <v>6.5689245952807651</v>
      </c>
      <c r="R11" s="1">
        <f>B19-B19</f>
        <v>0</v>
      </c>
      <c r="S11" s="28">
        <v>0</v>
      </c>
      <c r="T11" s="29">
        <f>D19-B19*1.74</f>
        <v>-2.6761413800000007</v>
      </c>
    </row>
    <row r="12" spans="2:22">
      <c r="B12" s="1">
        <v>0.38853337131153298</v>
      </c>
      <c r="C12" s="28">
        <f t="shared" si="0"/>
        <v>2.1872767251145362</v>
      </c>
      <c r="D12" s="28">
        <v>0.84982999999999997</v>
      </c>
      <c r="N12" s="1"/>
      <c r="O12" s="28"/>
      <c r="P12" s="28"/>
      <c r="R12" s="1">
        <f>B20</f>
        <v>-0.37687523000000001</v>
      </c>
      <c r="S12" s="28">
        <f>T12/R12</f>
        <v>2.6763791295066008</v>
      </c>
      <c r="T12" s="28">
        <f>D20</f>
        <v>-1.008661</v>
      </c>
      <c r="U12" t="s">
        <v>86</v>
      </c>
    </row>
    <row r="13" spans="2:22">
      <c r="B13" s="1">
        <v>0.66773927</v>
      </c>
      <c r="C13" s="28">
        <f t="shared" si="0"/>
        <v>1.9124230929236794</v>
      </c>
      <c r="D13" s="28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8">
        <v>0</v>
      </c>
      <c r="T13" s="28">
        <f>D21-B21*1.7718</f>
        <v>-4.9762695000000008</v>
      </c>
    </row>
    <row r="14" spans="2:22">
      <c r="B14" s="1">
        <v>0.39380211586237701</v>
      </c>
      <c r="C14" s="28">
        <f t="shared" si="0"/>
        <v>1.7677837978993687</v>
      </c>
      <c r="D14" s="28">
        <v>0.69615700000000003</v>
      </c>
      <c r="M14" t="s">
        <v>10</v>
      </c>
      <c r="N14" s="1">
        <f>-B19</f>
        <v>4.3</v>
      </c>
      <c r="O14" s="28">
        <f>P14/N14</f>
        <v>2.3623584604651162</v>
      </c>
      <c r="P14" s="28">
        <f>-D19</f>
        <v>10.15814138</v>
      </c>
      <c r="Q14" t="s">
        <v>11</v>
      </c>
      <c r="R14" s="1">
        <f>-N8</f>
        <v>-0.38359788359788299</v>
      </c>
      <c r="S14" s="28">
        <f>T14/R14</f>
        <v>3.7014594206896612</v>
      </c>
      <c r="T14" s="28">
        <f>-P8</f>
        <v>-1.419872</v>
      </c>
      <c r="U14" t="s">
        <v>87</v>
      </c>
    </row>
    <row r="15" spans="2:22">
      <c r="B15" s="1">
        <v>-0.36489607390300199</v>
      </c>
      <c r="C15" s="28">
        <f t="shared" si="0"/>
        <v>2.1019875379746855</v>
      </c>
      <c r="D15" s="28">
        <v>-0.76700699999999999</v>
      </c>
      <c r="N15" s="1">
        <f>-B21</f>
        <v>4.53</v>
      </c>
      <c r="O15" s="28">
        <f>P15/N15</f>
        <v>2.8703142384105962</v>
      </c>
      <c r="P15" s="28">
        <f>-D21</f>
        <v>13.002523500000001</v>
      </c>
      <c r="Q15" t="s">
        <v>11</v>
      </c>
      <c r="R15" s="1"/>
      <c r="S15" s="28"/>
      <c r="T15" s="28"/>
      <c r="U15" s="29"/>
    </row>
    <row r="16" spans="2:22">
      <c r="B16" s="1">
        <v>0.41928685653543302</v>
      </c>
      <c r="C16" s="28">
        <f t="shared" si="0"/>
        <v>1.6927408740274241</v>
      </c>
      <c r="D16" s="28">
        <v>0.70974400000000004</v>
      </c>
      <c r="N16" s="1">
        <f>3*(($B$6+$R$8+$R$7)/5)-$N$15-$N$14</f>
        <v>6.5467465280000008</v>
      </c>
      <c r="O16" s="28">
        <f>($S$6*[1]Params!K10)</f>
        <v>4.3191241373624054</v>
      </c>
      <c r="P16" s="28">
        <f>(O16*N16)</f>
        <v>28.276210950278326</v>
      </c>
      <c r="S16" s="28"/>
      <c r="T16" s="28"/>
    </row>
    <row r="17" spans="2:20">
      <c r="B17" s="1">
        <v>0.668076</v>
      </c>
      <c r="C17" s="28">
        <f t="shared" si="0"/>
        <v>1.6465192582879793</v>
      </c>
      <c r="D17" s="28">
        <v>1.1000000000000001</v>
      </c>
      <c r="N17" s="1">
        <f>3*(($B$6+$R$8+$R$7)/5)-$N$15-$N$14</f>
        <v>6.5467465280000008</v>
      </c>
      <c r="O17" s="28">
        <f>($S$6*[1]Params!K11)</f>
        <v>9.8161912212781939</v>
      </c>
      <c r="P17" s="28">
        <f>(O17*N17)</f>
        <v>64.264115796087097</v>
      </c>
      <c r="S17" s="28"/>
      <c r="T17" s="28"/>
    </row>
    <row r="18" spans="2:20">
      <c r="B18" s="1">
        <v>-0.37769784172661802</v>
      </c>
      <c r="C18" s="28">
        <f t="shared" si="0"/>
        <v>2.1765811428571467</v>
      </c>
      <c r="D18" s="28">
        <v>-0.82208999999999999</v>
      </c>
      <c r="E18" t="str">
        <f>U10</f>
        <v>Learn 1/5</v>
      </c>
      <c r="N18" s="1"/>
      <c r="O18" s="28"/>
      <c r="P18" s="28"/>
      <c r="S18" s="28"/>
      <c r="T18" s="28"/>
    </row>
    <row r="19" spans="2:20">
      <c r="B19" s="1">
        <v>-4.3</v>
      </c>
      <c r="C19" s="28">
        <f t="shared" si="0"/>
        <v>2.3623584604651162</v>
      </c>
      <c r="D19" s="28">
        <v>-10.15814138</v>
      </c>
      <c r="O19" s="28"/>
      <c r="P19" s="28">
        <f>(SUM(P14:P17))</f>
        <v>115.70099162636542</v>
      </c>
      <c r="S19" s="28"/>
      <c r="T19" s="28"/>
    </row>
    <row r="20" spans="2:20">
      <c r="B20" s="1">
        <v>-0.37687523000000001</v>
      </c>
      <c r="C20" s="28">
        <f t="shared" si="0"/>
        <v>2.6763791295066008</v>
      </c>
      <c r="D20" s="28">
        <f>-1.008661</f>
        <v>-1.008661</v>
      </c>
      <c r="O20" s="28"/>
      <c r="P20" s="28"/>
      <c r="S20" s="28"/>
      <c r="T20" s="28"/>
    </row>
    <row r="21" spans="2:20">
      <c r="B21" s="1">
        <v>-4.53</v>
      </c>
      <c r="C21" s="28">
        <f>D21/B21</f>
        <v>2.8703142384105962</v>
      </c>
      <c r="D21" s="28">
        <v>-13.002523500000001</v>
      </c>
      <c r="O21" s="28"/>
      <c r="P21" s="28"/>
      <c r="S21" s="28"/>
      <c r="T21" s="28"/>
    </row>
    <row r="22" spans="2:20">
      <c r="B22" s="1">
        <v>-0.37933818000000002</v>
      </c>
      <c r="C22" s="28">
        <f>D22/B22</f>
        <v>3.640698650475942</v>
      </c>
      <c r="D22" s="28">
        <v>-1.3810560000000001</v>
      </c>
      <c r="O22" s="28"/>
      <c r="P22" s="28"/>
      <c r="S22" s="28"/>
      <c r="T22" s="28"/>
    </row>
    <row r="23" spans="2:20">
      <c r="B23" s="1">
        <v>-4.82</v>
      </c>
      <c r="C23" s="28">
        <f>D23/B23</f>
        <v>3.9294447199170119</v>
      </c>
      <c r="D23" s="28">
        <f>-18.93992355</f>
        <v>-18.93992355</v>
      </c>
      <c r="O23" s="28"/>
      <c r="P23" s="28"/>
      <c r="S23" s="28"/>
      <c r="T23" s="28"/>
    </row>
    <row r="24" spans="2:20">
      <c r="B24" s="1">
        <f>5.7*0.999</f>
        <v>5.6943000000000001</v>
      </c>
      <c r="C24" s="28">
        <f>(D24/B24)</f>
        <v>2.8818818818818817</v>
      </c>
      <c r="D24" s="28">
        <v>16.410299999999999</v>
      </c>
      <c r="O24" s="28"/>
      <c r="P24" s="28"/>
      <c r="S24" s="28"/>
      <c r="T24" s="28"/>
    </row>
    <row r="25" spans="2:20">
      <c r="B25" s="1">
        <v>0.446786248131539</v>
      </c>
      <c r="C25" s="28">
        <f>(D25/B25)</f>
        <v>2.7306122448979631</v>
      </c>
      <c r="D25" s="28">
        <v>1.22</v>
      </c>
      <c r="O25" s="28"/>
      <c r="P25" s="28"/>
      <c r="S25" s="28"/>
      <c r="T25" s="28"/>
    </row>
    <row r="26" spans="2:20">
      <c r="B26" s="1">
        <v>-0.38359788359788299</v>
      </c>
      <c r="C26" s="28">
        <f>D26/B26</f>
        <v>3.7014594206896612</v>
      </c>
      <c r="D26" s="28">
        <v>-1.419872</v>
      </c>
      <c r="O26" s="28"/>
      <c r="P26" s="28"/>
      <c r="S26" s="28"/>
      <c r="T26" s="28"/>
    </row>
    <row r="27" spans="2:20">
      <c r="C27" s="28"/>
      <c r="D27" s="28"/>
      <c r="F27" t="s">
        <v>12</v>
      </c>
      <c r="G27" s="28">
        <f>(D28/B28)</f>
        <v>1.1280502069477714</v>
      </c>
      <c r="S27" s="28"/>
      <c r="T27" s="28"/>
    </row>
    <row r="28" spans="2:20">
      <c r="B28" s="1">
        <f>(SUM(B5:B27))</f>
        <v>17.638493905193013</v>
      </c>
      <c r="C28" s="28"/>
      <c r="D28" s="28">
        <f>(SUM(D5:D27))</f>
        <v>19.897106699999981</v>
      </c>
      <c r="S28" s="28"/>
      <c r="T28" s="28"/>
    </row>
    <row r="29" spans="2:20">
      <c r="S29" s="28"/>
      <c r="T29" s="28"/>
    </row>
    <row r="30" spans="2:20">
      <c r="S30" s="28"/>
      <c r="T30" s="28"/>
    </row>
    <row r="31" spans="2:20">
      <c r="R31" s="1">
        <f>(SUM(R5:R30))</f>
        <v>17.638493905193016</v>
      </c>
      <c r="S31" s="28"/>
      <c r="T31" s="28">
        <f>(SUM(T5:T30))</f>
        <v>19.897106699999995</v>
      </c>
    </row>
    <row r="35" spans="11:11">
      <c r="K35" s="29"/>
    </row>
  </sheetData>
  <conditionalFormatting sqref="C5:C6 C12:C14 C16:C17 O9 O16:O17 S5:S6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O3">
    <cfRule type="cellIs" dxfId="101" priority="5" operator="greaterThan">
      <formula>$J$3</formula>
    </cfRule>
    <cfRule type="cellIs" dxfId="100" priority="6" operator="lessThan">
      <formula>$J$3</formula>
    </cfRule>
  </conditionalFormatting>
  <conditionalFormatting sqref="G27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C24:C25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6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6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6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6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6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6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6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6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6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6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6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6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6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6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6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6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6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6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6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6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6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6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6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6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6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6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6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6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6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6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6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6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6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6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6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6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6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6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6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6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6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6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6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6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6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6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6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6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6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6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6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6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6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6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6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6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6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6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6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6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6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6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6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6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6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6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6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6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6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6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6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6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6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6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6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6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6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6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6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6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6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6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6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6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6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6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6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6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6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6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6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6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6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6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6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6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6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6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6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6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6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6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6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6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6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6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6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6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6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6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6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6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6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6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6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6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6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6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6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6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6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6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6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6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6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6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6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6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6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6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6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6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6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6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6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6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6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6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6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6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6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6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6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6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6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6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6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6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6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6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6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6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6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6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6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6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6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6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6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6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6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6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6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6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6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6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6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6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6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6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6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6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6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6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6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6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6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6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6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6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6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6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6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6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6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6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6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6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6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6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6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6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6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6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6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6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6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6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6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6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6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6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6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6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  <row r="236" spans="2:5">
      <c r="B236" s="36">
        <v>45349</v>
      </c>
      <c r="C236" s="18">
        <v>41.4</v>
      </c>
      <c r="D236" s="18">
        <f>(0.097*$M$3)</f>
        <v>4.9470000000000001</v>
      </c>
      <c r="E236" s="18">
        <f>(57000*$N$3)</f>
        <v>267.6056338028169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417" width="9.140625" style="25" customWidth="1"/>
    <col min="418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0.84299013991651162</v>
      </c>
      <c r="M3" t="s">
        <v>4</v>
      </c>
      <c r="N3" s="39">
        <f>(INDEX(N5:N22,MATCH(MAX(O6:O8),O5:O22,0))/0.85)</f>
        <v>2.223529411764706</v>
      </c>
      <c r="O3" s="29">
        <f>(MAX(O6:O8)*0.75)</f>
        <v>0.41447051190476192</v>
      </c>
      <c r="P3" s="28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3.2061090862875088</v>
      </c>
      <c r="K4" s="4">
        <f>(J4/D14-1)</f>
        <v>-24.051474911936904</v>
      </c>
      <c r="R4" t="s">
        <v>5</v>
      </c>
      <c r="S4" t="s">
        <v>6</v>
      </c>
      <c r="T4" t="s">
        <v>7</v>
      </c>
    </row>
    <row r="5" spans="2:21">
      <c r="B5" s="39">
        <v>9.4096547000000008</v>
      </c>
      <c r="C5" s="28">
        <f>(D5/B5)</f>
        <v>0.23380241572520191</v>
      </c>
      <c r="D5" s="28">
        <v>2.2000000000000002</v>
      </c>
      <c r="N5" t="s">
        <v>30</v>
      </c>
      <c r="O5" t="s">
        <v>1</v>
      </c>
      <c r="P5" t="s">
        <v>2</v>
      </c>
      <c r="R5" s="39">
        <f>(B5)</f>
        <v>9.4096547000000008</v>
      </c>
      <c r="S5" s="28">
        <f>(T5/R5)</f>
        <v>0.23380241572520191</v>
      </c>
      <c r="T5" s="28">
        <f>D5</f>
        <v>2.2000000000000002</v>
      </c>
    </row>
    <row r="6" spans="2:21">
      <c r="B6" s="51">
        <v>7.6603409999999997E-2</v>
      </c>
      <c r="C6" s="31">
        <v>0</v>
      </c>
      <c r="D6" s="31">
        <f>(B6*C6)</f>
        <v>0</v>
      </c>
      <c r="E6" s="28">
        <f>(B6*J3)</f>
        <v>6.4575919313981905E-2</v>
      </c>
      <c r="M6" t="s">
        <v>10</v>
      </c>
      <c r="N6" s="39">
        <f>-B7/2</f>
        <v>1.8965000000000001</v>
      </c>
      <c r="O6" s="28">
        <v>0.3</v>
      </c>
      <c r="P6" s="28">
        <f>(O6*N6)</f>
        <v>0.56894999999999996</v>
      </c>
      <c r="Q6" s="29" t="s">
        <v>11</v>
      </c>
      <c r="R6" s="51">
        <f>(B6)</f>
        <v>7.6603409999999997E-2</v>
      </c>
      <c r="S6" s="31">
        <v>0</v>
      </c>
      <c r="T6" s="31">
        <f>(D6)</f>
        <v>0</v>
      </c>
      <c r="U6" s="28">
        <f>(E6)</f>
        <v>6.4575919313981905E-2</v>
      </c>
    </row>
    <row r="7" spans="2:21">
      <c r="B7" s="39">
        <v>-3.7930000000000001</v>
      </c>
      <c r="C7" s="28">
        <f>D7/B7</f>
        <v>0.3413179752175059</v>
      </c>
      <c r="D7" s="28">
        <f>-1.29461908</f>
        <v>-1.2946190799999999</v>
      </c>
      <c r="N7" s="39">
        <f>-B7/2</f>
        <v>1.8965000000000001</v>
      </c>
      <c r="O7" s="28">
        <v>0.37</v>
      </c>
      <c r="P7" s="28">
        <f>(O7*N7)</f>
        <v>0.70170500000000002</v>
      </c>
      <c r="Q7" s="29" t="s">
        <v>11</v>
      </c>
      <c r="R7" s="39"/>
      <c r="S7" s="28"/>
      <c r="T7" s="28"/>
      <c r="U7" s="29"/>
    </row>
    <row r="8" spans="2:21">
      <c r="B8" s="39">
        <v>-1.89</v>
      </c>
      <c r="C8" s="28">
        <f>D8/B8</f>
        <v>0.55262734920634926</v>
      </c>
      <c r="D8" s="28">
        <v>-1.04446569</v>
      </c>
      <c r="N8" s="39">
        <f>-B8</f>
        <v>1.89</v>
      </c>
      <c r="O8" s="28">
        <f>P8/N8</f>
        <v>0.55262734920634926</v>
      </c>
      <c r="P8" s="28">
        <f>-D8</f>
        <v>1.04446569</v>
      </c>
      <c r="Q8" s="29" t="s">
        <v>11</v>
      </c>
      <c r="R8" s="39"/>
      <c r="S8" s="28"/>
      <c r="T8" s="28"/>
    </row>
    <row r="9" spans="2:21">
      <c r="B9" s="39"/>
      <c r="C9" s="28"/>
      <c r="D9" s="28"/>
      <c r="N9" s="39">
        <f>4*($B$14-B7-B8)/5+B7+B8</f>
        <v>1.9060064880000007</v>
      </c>
      <c r="O9" s="28">
        <f>($C$5*[1]Params!K11)</f>
        <v>1.1690120786260096</v>
      </c>
      <c r="P9" s="28">
        <f>(O9*N9)</f>
        <v>2.2281446064115413</v>
      </c>
      <c r="Q9" s="29"/>
    </row>
    <row r="10" spans="2:21">
      <c r="B10" s="39"/>
      <c r="C10" s="28"/>
      <c r="D10" s="28"/>
    </row>
    <row r="12" spans="2:21">
      <c r="P12" s="28">
        <f>(SUM(P6:P9))</f>
        <v>4.5432652964115414</v>
      </c>
    </row>
    <row r="13" spans="2:21">
      <c r="F13" t="s">
        <v>12</v>
      </c>
      <c r="G13" s="28">
        <f>(D14/B14)</f>
        <v>-3.656990032685415E-2</v>
      </c>
    </row>
    <row r="14" spans="2:21">
      <c r="B14" s="39">
        <f>(SUM(B5:B13))</f>
        <v>3.8032581100000016</v>
      </c>
      <c r="D14" s="28">
        <f>(SUM(D5:D13))</f>
        <v>-0.13908476999999975</v>
      </c>
    </row>
    <row r="17" spans="11:20">
      <c r="N17" s="39"/>
      <c r="R17" s="39">
        <f>(SUM(R5:R16))</f>
        <v>9.4862581100000014</v>
      </c>
      <c r="T17" s="28">
        <f>(SUM(T5:T16))</f>
        <v>2.2000000000000002</v>
      </c>
    </row>
    <row r="20" spans="11:20">
      <c r="K20" s="29"/>
    </row>
    <row r="26" spans="11:20">
      <c r="O26" s="57"/>
    </row>
  </sheetData>
  <conditionalFormatting sqref="C5">
    <cfRule type="cellIs" dxfId="95" priority="13" operator="lessThan">
      <formula>$J$3</formula>
    </cfRule>
    <cfRule type="cellIs" dxfId="94" priority="14" operator="greaterThan">
      <formula>$J$3</formula>
    </cfRule>
  </conditionalFormatting>
  <conditionalFormatting sqref="O9">
    <cfRule type="cellIs" dxfId="93" priority="9" operator="lessThan">
      <formula>$J$3</formula>
    </cfRule>
    <cfRule type="cellIs" dxfId="92" priority="10" operator="greaterThan">
      <formula>$J$3</formula>
    </cfRule>
  </conditionalFormatting>
  <conditionalFormatting sqref="S5">
    <cfRule type="cellIs" dxfId="91" priority="7" operator="lessThan">
      <formula>$J$3</formula>
    </cfRule>
    <cfRule type="cellIs" dxfId="90" priority="8" operator="greaterThan">
      <formula>$J$3</formula>
    </cfRule>
  </conditionalFormatting>
  <conditionalFormatting sqref="G1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3">
    <cfRule type="cellIs" dxfId="87" priority="1" operator="greaterThan">
      <formula>$J$3</formula>
    </cfRule>
    <cfRule type="cellIs" dxfId="86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S7" sqref="S7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  <col min="19" max="19" width="12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60">
        <v>2.277346398442944E-5</v>
      </c>
      <c r="M3" t="s">
        <v>4</v>
      </c>
      <c r="N3" s="21">
        <f>(INDEX(N5:N26,MATCH(MAX(O6),O5:O26,0))/0.85)</f>
        <v>215449.32705882352</v>
      </c>
      <c r="O3" s="61">
        <f>(MAX(O6)*0.75)</f>
        <v>1.1157898789001969E-5</v>
      </c>
      <c r="P3" s="28">
        <f>(O3*N3)</f>
        <v>2.4039617854809361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20.852741833535624</v>
      </c>
      <c r="K4" s="4">
        <f>(J4/D13-1)</f>
        <v>6.6084515993542814</v>
      </c>
      <c r="R4" t="s">
        <v>5</v>
      </c>
      <c r="S4" t="s">
        <v>6</v>
      </c>
      <c r="T4" t="s">
        <v>7</v>
      </c>
    </row>
    <row r="5" spans="2:21">
      <c r="B5" s="21">
        <v>439531.68</v>
      </c>
      <c r="C5" s="60">
        <f>(D5/B5)</f>
        <v>1.1443998757950737E-5</v>
      </c>
      <c r="D5" s="28">
        <v>5.03</v>
      </c>
      <c r="E5" s="28"/>
      <c r="F5" s="28"/>
      <c r="G5" s="28"/>
      <c r="N5" t="s">
        <v>30</v>
      </c>
      <c r="O5" t="s">
        <v>1</v>
      </c>
      <c r="P5" t="s">
        <v>2</v>
      </c>
      <c r="R5" s="21">
        <f>(B5)</f>
        <v>439531.68</v>
      </c>
      <c r="S5" s="60">
        <f>(C5)</f>
        <v>1.1443998757950737E-5</v>
      </c>
      <c r="T5" s="28">
        <f>(R5*S5)</f>
        <v>5.03</v>
      </c>
    </row>
    <row r="6" spans="2:21">
      <c r="B6" s="22">
        <v>287.54000000000002</v>
      </c>
      <c r="C6" s="31">
        <v>0</v>
      </c>
      <c r="D6" s="32">
        <f>(B6*C6)</f>
        <v>0</v>
      </c>
      <c r="E6" s="28">
        <f>(B6*$J$3)</f>
        <v>6.5482818340828414E-3</v>
      </c>
      <c r="F6" s="28"/>
      <c r="G6" s="28"/>
      <c r="M6" t="s">
        <v>10</v>
      </c>
      <c r="N6" s="21">
        <f>($B$13/5)</f>
        <v>183131.92799999999</v>
      </c>
      <c r="O6" s="60">
        <f>($C$5*[1]Params!K8)</f>
        <v>1.4877198385335959E-5</v>
      </c>
      <c r="P6" s="28">
        <f>(O6*N6)</f>
        <v>2.7244900235450609</v>
      </c>
      <c r="Q6" t="s">
        <v>11</v>
      </c>
      <c r="R6" s="22">
        <f>B6</f>
        <v>287.54000000000002</v>
      </c>
      <c r="S6" s="31">
        <v>0</v>
      </c>
      <c r="T6" s="32">
        <f>D6</f>
        <v>0</v>
      </c>
      <c r="U6" s="28">
        <f>(R6*$J$3)</f>
        <v>6.5482818340828414E-3</v>
      </c>
    </row>
    <row r="7" spans="2:21">
      <c r="B7" s="21">
        <v>1084840.42</v>
      </c>
      <c r="C7" s="60">
        <f>(D7/B7)</f>
        <v>9.2293758744719342E-6</v>
      </c>
      <c r="D7" s="28">
        <v>10.0124</v>
      </c>
      <c r="E7" s="28" t="s">
        <v>88</v>
      </c>
      <c r="F7" s="28"/>
      <c r="G7" s="28"/>
      <c r="N7" s="21">
        <f>($B$13/5)</f>
        <v>183131.92799999999</v>
      </c>
      <c r="O7" s="60">
        <f>($C$5*[1]Params!K9)</f>
        <v>1.8310398012721179E-5</v>
      </c>
      <c r="P7" s="28">
        <f>(O7*N7)</f>
        <v>3.3532184905169977</v>
      </c>
      <c r="Q7" t="s">
        <v>11</v>
      </c>
      <c r="R7" s="21">
        <f>B7</f>
        <v>1084840.42</v>
      </c>
      <c r="S7" s="60">
        <f>T7/R7</f>
        <v>9.2293758744719342E-6</v>
      </c>
      <c r="T7" s="28">
        <f>D7</f>
        <v>10.0124</v>
      </c>
      <c r="U7" s="29" t="str">
        <f>E7</f>
        <v>DCA5</v>
      </c>
    </row>
    <row r="8" spans="2:21">
      <c r="B8">
        <v>-609000</v>
      </c>
      <c r="C8" s="60">
        <f>D8/B8</f>
        <v>2.0199780000000001E-5</v>
      </c>
      <c r="D8" s="28">
        <f>-12.31398*0.999</f>
        <v>-12.301666020000001</v>
      </c>
      <c r="E8" s="28"/>
      <c r="F8" s="28"/>
      <c r="G8" s="28"/>
      <c r="N8" s="21">
        <f>($B$13/5)</f>
        <v>183131.92799999999</v>
      </c>
      <c r="O8" s="60">
        <f>($C$5*[1]Params!K10)</f>
        <v>2.5176797267491623E-5</v>
      </c>
      <c r="P8" s="28">
        <f>(O8*N8)</f>
        <v>4.6106754244608723</v>
      </c>
      <c r="R8" s="21">
        <f>B8</f>
        <v>-609000</v>
      </c>
      <c r="S8" s="60">
        <f>T8/R8</f>
        <v>2.0199780000000001E-5</v>
      </c>
      <c r="T8" s="28">
        <f>D8</f>
        <v>-12.301666020000001</v>
      </c>
    </row>
    <row r="9" spans="2:21">
      <c r="C9" s="28"/>
      <c r="D9" s="28"/>
      <c r="E9" s="28"/>
      <c r="F9" s="28"/>
      <c r="G9" s="28"/>
      <c r="N9" s="21">
        <f>($B$13/5)</f>
        <v>183131.92799999999</v>
      </c>
      <c r="O9" s="60">
        <f>($C$5*[1]Params!K11)</f>
        <v>5.7219993789753684E-5</v>
      </c>
      <c r="P9" s="28">
        <f>(O9*N9)</f>
        <v>10.478807782865617</v>
      </c>
      <c r="R9" s="21"/>
      <c r="S9" s="28"/>
      <c r="T9" s="28"/>
    </row>
    <row r="10" spans="2:21">
      <c r="C10" s="28"/>
      <c r="D10" s="28"/>
      <c r="E10" s="28"/>
      <c r="F10" s="28"/>
      <c r="G10" s="28"/>
      <c r="O10" s="28"/>
      <c r="P10" s="28"/>
      <c r="S10" s="28"/>
      <c r="T10" s="28"/>
    </row>
    <row r="11" spans="2:21">
      <c r="C11" s="28"/>
      <c r="D11" s="28"/>
      <c r="E11" s="28"/>
      <c r="F11" s="28"/>
      <c r="G11" s="28"/>
      <c r="N11" s="21"/>
      <c r="O11" s="28"/>
      <c r="P11" s="28">
        <f>(SUM(P6:P9))</f>
        <v>21.167191721388548</v>
      </c>
      <c r="S11" s="28"/>
      <c r="T11" s="28"/>
    </row>
    <row r="12" spans="2:21">
      <c r="C12" s="28"/>
      <c r="D12" s="28"/>
      <c r="E12" s="28"/>
      <c r="F12" s="28" t="s">
        <v>12</v>
      </c>
      <c r="G12" s="62">
        <f>(D13/B13)</f>
        <v>2.9931798457339456E-6</v>
      </c>
      <c r="R12" s="23"/>
      <c r="S12" s="28"/>
      <c r="T12" s="28"/>
    </row>
    <row r="13" spans="2:21">
      <c r="B13">
        <f>(SUM(B5:B12))</f>
        <v>915659.6399999999</v>
      </c>
      <c r="C13" s="28"/>
      <c r="D13" s="28">
        <f>(SUM(D5:D12))</f>
        <v>2.7407339799999999</v>
      </c>
      <c r="E13" s="28"/>
      <c r="F13" s="28"/>
      <c r="G13" s="28"/>
      <c r="R13">
        <f>(SUM(R5:R12))</f>
        <v>915659.6399999999</v>
      </c>
      <c r="S13" s="28"/>
      <c r="T13" s="28">
        <f>(SUM(T5:T12))</f>
        <v>2.7407339799999999</v>
      </c>
    </row>
  </sheetData>
  <conditionalFormatting sqref="C5">
    <cfRule type="cellIs" dxfId="85" priority="25" operator="lessThan">
      <formula>$J$3</formula>
    </cfRule>
    <cfRule type="cellIs" dxfId="84" priority="26" operator="greaterThan">
      <formula>$J$3</formula>
    </cfRule>
  </conditionalFormatting>
  <conditionalFormatting sqref="J3">
    <cfRule type="cellIs" dxfId="83" priority="23" operator="lessThan">
      <formula>$J$3</formula>
    </cfRule>
    <cfRule type="cellIs" dxfId="82" priority="24" operator="greaterThan">
      <formula>$J$3</formula>
    </cfRule>
  </conditionalFormatting>
  <conditionalFormatting sqref="O8:O9">
    <cfRule type="cellIs" dxfId="81" priority="21" operator="lessThan">
      <formula>$J$3</formula>
    </cfRule>
    <cfRule type="cellIs" dxfId="80" priority="22" operator="greaterThan">
      <formula>$J$3</formula>
    </cfRule>
    <cfRule type="cellIs" dxfId="79" priority="19" operator="lessThan">
      <formula>$J$3</formula>
    </cfRule>
    <cfRule type="cellIs" dxfId="78" priority="20" operator="greaterThan">
      <formula>$J$3</formula>
    </cfRule>
    <cfRule type="cellIs" dxfId="77" priority="17" operator="lessThan">
      <formula>$J$3</formula>
    </cfRule>
    <cfRule type="cellIs" dxfId="76" priority="18" operator="greaterThan">
      <formula>$J$3</formula>
    </cfRule>
  </conditionalFormatting>
  <conditionalFormatting sqref="C7">
    <cfRule type="cellIs" dxfId="75" priority="15" operator="lessThan">
      <formula>$J$3</formula>
    </cfRule>
    <cfRule type="cellIs" dxfId="74" priority="16" operator="greaterThan">
      <formula>$J$3</formula>
    </cfRule>
    <cfRule type="cellIs" dxfId="73" priority="11" operator="lessThan">
      <formula>$J$3</formula>
    </cfRule>
    <cfRule type="cellIs" dxfId="72" priority="12" operator="greaterThan">
      <formula>$J$3</formula>
    </cfRule>
  </conditionalFormatting>
  <conditionalFormatting sqref="G12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3">
    <cfRule type="cellIs" dxfId="69" priority="9" operator="greaterThan">
      <formula>$J$3</formula>
    </cfRule>
    <cfRule type="cellIs" dxfId="68" priority="10" operator="less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  <cfRule type="cellIs" dxfId="65" priority="5" operator="lessThan">
      <formula>$J$3</formula>
    </cfRule>
    <cfRule type="cellIs" dxfId="64" priority="6" operator="greaterThan">
      <formula>$J$3</formula>
    </cfRule>
  </conditionalFormatting>
  <conditionalFormatting sqref="S7">
    <cfRule type="cellIs" dxfId="63" priority="3" operator="lessThan">
      <formula>$J$3</formula>
    </cfRule>
    <cfRule type="cellIs" dxfId="62" priority="4" operator="greaterThan">
      <formula>$J$3</formula>
    </cfRule>
    <cfRule type="cellIs" dxfId="61" priority="1" operator="lessThan">
      <formula>$J$3</formula>
    </cfRule>
    <cfRule type="cellIs" dxfId="60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V49"/>
  <sheetViews>
    <sheetView workbookViewId="0">
      <selection activeCell="R4" sqref="R4:T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  <col min="21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52">
        <v>6.9965296000599406E-3</v>
      </c>
      <c r="M3" t="s">
        <v>4</v>
      </c>
      <c r="N3" s="23">
        <f>(INDEX(N5:N26,MATCH(MAX(O6),O5:O26,0))/0.85)</f>
        <v>141.03529411764706</v>
      </c>
      <c r="O3" s="57">
        <f>(MAX(O6)*0.75)</f>
        <v>4.8798798798798801E-3</v>
      </c>
      <c r="P3" s="28">
        <f>(O3*N3)</f>
        <v>0.68823529411764706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8">
        <f>(B10*J3)</f>
        <v>3.4090916489383916</v>
      </c>
      <c r="K4" s="4">
        <f>(J4/D10-1)</f>
        <v>0.68208660413084066</v>
      </c>
      <c r="R4" t="s">
        <v>5</v>
      </c>
      <c r="S4" t="s">
        <v>6</v>
      </c>
      <c r="T4" t="s">
        <v>7</v>
      </c>
    </row>
    <row r="5" spans="2:22">
      <c r="B5">
        <v>599.4</v>
      </c>
      <c r="C5" s="49">
        <f>(D5/B5)</f>
        <v>5.005005005005005E-3</v>
      </c>
      <c r="D5" s="28">
        <v>3</v>
      </c>
      <c r="E5" t="s">
        <v>78</v>
      </c>
      <c r="N5" t="s">
        <v>30</v>
      </c>
      <c r="O5" t="s">
        <v>1</v>
      </c>
      <c r="P5" t="s">
        <v>2</v>
      </c>
      <c r="R5">
        <f>(B5)</f>
        <v>599.4</v>
      </c>
      <c r="S5" s="28">
        <f>(C5)</f>
        <v>5.005005005005005E-3</v>
      </c>
      <c r="T5" s="28">
        <f>(R5*S5)</f>
        <v>3</v>
      </c>
    </row>
    <row r="6" spans="2:22">
      <c r="B6">
        <v>-112.14534036000001</v>
      </c>
      <c r="C6" s="28">
        <f>D6/B6</f>
        <v>8.6788804320857473E-3</v>
      </c>
      <c r="D6" s="28">
        <f>-0.973296</f>
        <v>-0.97329600000000005</v>
      </c>
      <c r="M6" t="s">
        <v>10</v>
      </c>
      <c r="N6" s="18">
        <f>($B$5/5)</f>
        <v>119.88</v>
      </c>
      <c r="O6" s="56">
        <f>($C$5*[1]Params!K8)</f>
        <v>6.5065065065065065E-3</v>
      </c>
      <c r="P6" s="28">
        <f>(O6*N6)</f>
        <v>0.77999999999999992</v>
      </c>
      <c r="Q6" t="s">
        <v>11</v>
      </c>
      <c r="R6">
        <f>B7</f>
        <v>0</v>
      </c>
      <c r="S6" s="28">
        <v>0</v>
      </c>
      <c r="T6" s="28">
        <f>D6</f>
        <v>-0.97329600000000005</v>
      </c>
    </row>
    <row r="7" spans="2:22">
      <c r="C7" s="28"/>
      <c r="D7" s="28"/>
      <c r="N7" s="39">
        <f>$B$10/4</f>
        <v>121.81366491</v>
      </c>
      <c r="O7" s="56">
        <f>($C$5*[1]Params!K9)</f>
        <v>8.0080080080080079E-3</v>
      </c>
      <c r="P7" s="28">
        <f>(O7*N7)</f>
        <v>0.97548480408408411</v>
      </c>
      <c r="R7" s="23"/>
      <c r="S7" s="28"/>
      <c r="T7" s="28"/>
    </row>
    <row r="8" spans="2:22">
      <c r="C8" s="28"/>
      <c r="D8" s="28"/>
      <c r="N8" s="39">
        <f>$B$10/4</f>
        <v>121.81366491</v>
      </c>
      <c r="O8" s="56">
        <f>($C$5*[1]Params!K10)</f>
        <v>1.1011011011011013E-2</v>
      </c>
      <c r="P8" s="28">
        <f>(O8*N8)</f>
        <v>1.3412916056156159</v>
      </c>
      <c r="R8" s="23"/>
      <c r="S8" s="28"/>
      <c r="T8" s="28"/>
    </row>
    <row r="9" spans="2:22">
      <c r="C9" s="28"/>
      <c r="D9" s="28"/>
      <c r="F9" t="s">
        <v>12</v>
      </c>
      <c r="G9" s="28">
        <f>(D10/B10)</f>
        <v>4.1594348251023329E-3</v>
      </c>
      <c r="N9" s="39">
        <f>$B$10/4</f>
        <v>121.81366491</v>
      </c>
      <c r="O9" s="56">
        <f>($C$5*[1]Params!K11)</f>
        <v>2.5025025025025023E-2</v>
      </c>
      <c r="P9" s="28">
        <f>(O9*N9)</f>
        <v>3.0483900127627623</v>
      </c>
      <c r="R9" s="23"/>
      <c r="S9" s="28"/>
      <c r="T9" s="28"/>
    </row>
    <row r="10" spans="2:22">
      <c r="B10">
        <f>(SUM(B5:B9))</f>
        <v>487.25465964</v>
      </c>
      <c r="C10" s="28"/>
      <c r="D10" s="28">
        <f>(SUM(D5:D9))</f>
        <v>2.0267040000000001</v>
      </c>
      <c r="O10" s="28"/>
      <c r="P10" s="28"/>
      <c r="S10" s="28"/>
      <c r="T10" s="28"/>
    </row>
    <row r="11" spans="2:22">
      <c r="O11" s="28"/>
      <c r="P11" s="28">
        <f>(SUM(P6:P9))</f>
        <v>6.1451664224624629</v>
      </c>
      <c r="S11" s="28"/>
      <c r="T11" s="28"/>
    </row>
    <row r="12" spans="2:22">
      <c r="R12" s="23"/>
      <c r="S12" s="28"/>
      <c r="T12" s="28"/>
    </row>
    <row r="13" spans="2:22">
      <c r="R13">
        <f>(SUM(R5:R12))</f>
        <v>599.4</v>
      </c>
      <c r="S13" s="28"/>
      <c r="T13" s="28">
        <f>(SUM(T5:T12))</f>
        <v>2.0267040000000001</v>
      </c>
    </row>
    <row r="14" spans="2:22">
      <c r="R14" s="23"/>
      <c r="S14" s="28"/>
      <c r="T14" s="28"/>
    </row>
    <row r="15" spans="2:22">
      <c r="R15" s="23"/>
      <c r="S15" s="28"/>
      <c r="T15" s="28"/>
    </row>
    <row r="16" spans="2:22">
      <c r="R16" s="23"/>
      <c r="S16" s="28"/>
      <c r="T16" s="28"/>
      <c r="V16" s="29"/>
    </row>
    <row r="17" spans="18:22">
      <c r="R17" s="23"/>
      <c r="S17" s="28"/>
      <c r="T17" s="28"/>
      <c r="V17" s="29"/>
    </row>
    <row r="18" spans="18:22">
      <c r="R18" s="23"/>
      <c r="S18" s="29"/>
      <c r="T18" s="29"/>
      <c r="V18" s="29"/>
    </row>
    <row r="19" spans="18:22">
      <c r="R19" s="23"/>
      <c r="S19" s="29"/>
      <c r="T19" s="28"/>
    </row>
    <row r="20" spans="18:22">
      <c r="R20" s="23"/>
      <c r="S20" s="28"/>
      <c r="T20" s="28"/>
    </row>
    <row r="21" spans="18:22">
      <c r="R21" s="23"/>
      <c r="S21" s="28"/>
      <c r="T21" s="28"/>
    </row>
    <row r="22" spans="18:22">
      <c r="R22" s="23"/>
      <c r="S22" s="28"/>
      <c r="T22" s="28"/>
    </row>
    <row r="23" spans="18:22">
      <c r="R23" s="23"/>
      <c r="S23" s="29"/>
      <c r="T23" s="29"/>
    </row>
    <row r="24" spans="18:22">
      <c r="R24" s="23"/>
      <c r="S24" s="28"/>
      <c r="T24" s="28"/>
    </row>
    <row r="29" spans="18:22">
      <c r="R29" s="23"/>
      <c r="S29" s="28"/>
      <c r="T29" s="28"/>
    </row>
    <row r="30" spans="18:22">
      <c r="R30" s="23"/>
      <c r="S30" s="28"/>
      <c r="T30" s="28"/>
    </row>
    <row r="31" spans="18:22">
      <c r="S31" s="28"/>
      <c r="T31" s="28"/>
    </row>
    <row r="32" spans="18:22">
      <c r="S32" s="28"/>
      <c r="T32" s="28"/>
    </row>
    <row r="33" spans="18:22">
      <c r="S33" s="28"/>
      <c r="T33" s="28"/>
      <c r="U33" s="29"/>
    </row>
    <row r="34" spans="18:22">
      <c r="S34" s="28"/>
      <c r="T34" s="28"/>
    </row>
    <row r="35" spans="18:22">
      <c r="S35" s="28"/>
      <c r="T35" s="28"/>
    </row>
    <row r="36" spans="18:22">
      <c r="S36" s="28"/>
      <c r="T36" s="28"/>
    </row>
    <row r="37" spans="18:22">
      <c r="S37" s="28"/>
      <c r="T37" s="28"/>
    </row>
    <row r="38" spans="18:22">
      <c r="S38" s="28"/>
      <c r="T38" s="28"/>
    </row>
    <row r="39" spans="18:22">
      <c r="S39" s="28"/>
      <c r="T39" s="28"/>
    </row>
    <row r="40" spans="18:22">
      <c r="S40" s="28"/>
      <c r="T40" s="28"/>
    </row>
    <row r="41" spans="18:22">
      <c r="S41" s="28"/>
      <c r="T41" s="28"/>
    </row>
    <row r="42" spans="18:22">
      <c r="S42" s="28"/>
      <c r="T42" s="28"/>
    </row>
    <row r="43" spans="18:22">
      <c r="S43" s="28"/>
      <c r="T43" s="28"/>
    </row>
    <row r="44" spans="18:22">
      <c r="S44" s="28"/>
      <c r="T44" s="28"/>
    </row>
    <row r="45" spans="18:22">
      <c r="S45" s="28"/>
      <c r="T45" s="28"/>
    </row>
    <row r="46" spans="18:22">
      <c r="S46" s="28"/>
      <c r="T46" s="28"/>
    </row>
    <row r="47" spans="18:22">
      <c r="S47" s="28"/>
      <c r="T47" s="28"/>
    </row>
    <row r="48" spans="18:22">
      <c r="R48" s="23">
        <f>(SUM(R5:R36))</f>
        <v>1198.8</v>
      </c>
      <c r="S48" s="28"/>
      <c r="T48" s="28">
        <f>(SUM(T5:T36))</f>
        <v>4.0534080000000001</v>
      </c>
      <c r="V48" t="s">
        <v>12</v>
      </c>
    </row>
    <row r="49" spans="19:20">
      <c r="S49" s="28"/>
      <c r="T49" s="28"/>
    </row>
  </sheetData>
  <conditionalFormatting sqref="C5 G9 O7:O9">
    <cfRule type="cellIs" dxfId="59" priority="13" operator="lessThan">
      <formula>$J$3</formula>
    </cfRule>
    <cfRule type="cellIs" dxfId="58" priority="14" operator="greaterThan">
      <formula>$J$3</formula>
    </cfRule>
  </conditionalFormatting>
  <conditionalFormatting sqref="O3">
    <cfRule type="cellIs" dxfId="57" priority="7" operator="greaterThan">
      <formula>$J$3</formula>
    </cfRule>
    <cfRule type="cellIs" dxfId="56" priority="8" operator="lessThan">
      <formula>$J$3</formula>
    </cfRule>
  </conditionalFormatting>
  <conditionalFormatting sqref="S5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Q46" sqref="Q46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8">
        <v>130.32502257155161</v>
      </c>
      <c r="M3" t="s">
        <v>4</v>
      </c>
      <c r="N3" s="23">
        <f>(INDEX(N5:N26,MATCH(MAX(O6:O9,O23:O25,O14:O17),O5:O26,0))/0.85)</f>
        <v>1.6705882352941177</v>
      </c>
      <c r="O3" s="29">
        <f>(MAX(O14:O17,O23:O25,O6:O9)*0.75)</f>
        <v>97.087499999999991</v>
      </c>
      <c r="P3" s="28">
        <f>(O3*N3)</f>
        <v>162.19323529411764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8">
        <f>(B48*J3)</f>
        <v>373.44392435393559</v>
      </c>
      <c r="K4" s="4">
        <f>(J4/D48-1)</f>
        <v>-3.6188347477530094</v>
      </c>
      <c r="O4" s="28"/>
      <c r="P4" s="28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8">
        <v>196</v>
      </c>
      <c r="D5" s="28">
        <f>(B5*C5)</f>
        <v>57.961394400000003</v>
      </c>
      <c r="E5" s="28"/>
      <c r="M5" t="s">
        <v>89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8">
        <f>(C5)</f>
        <v>196</v>
      </c>
      <c r="T5" s="28">
        <f>(R5*S5)</f>
        <v>57.961394400000003</v>
      </c>
    </row>
    <row r="6" spans="2:22">
      <c r="B6" s="23">
        <f>(-0.00801)</f>
        <v>-8.0099999999999998E-3</v>
      </c>
      <c r="C6" s="28">
        <f t="shared" ref="C6:C11" si="0">(D6/B6)</f>
        <v>37.551186017478159</v>
      </c>
      <c r="D6" s="28">
        <v>-0.30078500000000002</v>
      </c>
      <c r="E6" s="28"/>
      <c r="M6" t="s">
        <v>10</v>
      </c>
      <c r="N6" s="23">
        <f>($B$15/5)</f>
        <v>9.8105999999999999E-2</v>
      </c>
      <c r="O6" s="28">
        <f>(C22)</f>
        <v>16.233513403322799</v>
      </c>
      <c r="P6" s="28">
        <f>(O6*N6)</f>
        <v>1.5926050659463866</v>
      </c>
      <c r="Q6" t="s">
        <v>11</v>
      </c>
      <c r="R6" s="23">
        <f>(B6+B7+B8+B9+B10+B11)</f>
        <v>3.1006299999999931E-3</v>
      </c>
      <c r="S6" s="28">
        <v>0</v>
      </c>
      <c r="T6" s="28">
        <f>(D6+D7+D8+D9)+D10+D11</f>
        <v>-0.2519849999999999</v>
      </c>
    </row>
    <row r="7" spans="2:22">
      <c r="B7" s="23">
        <v>-7.3249999999999999E-3</v>
      </c>
      <c r="C7" s="28">
        <f t="shared" si="0"/>
        <v>40.955631399317404</v>
      </c>
      <c r="D7" s="28">
        <v>-0.3</v>
      </c>
      <c r="E7" s="28"/>
      <c r="N7" s="23">
        <f>-B35</f>
        <v>0.10885</v>
      </c>
      <c r="O7" s="28">
        <f>P7/N7</f>
        <v>23.941203491042717</v>
      </c>
      <c r="P7" s="28">
        <f>-D35</f>
        <v>2.6059999999999999</v>
      </c>
      <c r="Q7" t="s">
        <v>11</v>
      </c>
      <c r="R7" s="23">
        <f>B12+B13+B14</f>
        <v>8.7887910000000544E-3</v>
      </c>
      <c r="S7" s="28">
        <v>0</v>
      </c>
      <c r="T7" s="28">
        <f>(R7*S7)</f>
        <v>0</v>
      </c>
    </row>
    <row r="8" spans="2:22">
      <c r="B8" s="23">
        <f>(0.00803628-0.0000683)</f>
        <v>7.9679799999999995E-3</v>
      </c>
      <c r="C8" s="28">
        <f t="shared" si="0"/>
        <v>36.395673683919888</v>
      </c>
      <c r="D8" s="28">
        <v>0.28999999999999998</v>
      </c>
      <c r="E8" s="28"/>
      <c r="N8" s="23">
        <f>(($B$15+$R$16)/5)</f>
        <v>0.10599873400000001</v>
      </c>
      <c r="O8" s="28">
        <f>C37</f>
        <v>31.194569999999995</v>
      </c>
      <c r="P8" s="28">
        <f>-D37</f>
        <v>3.1194569999999997</v>
      </c>
      <c r="Q8" t="s">
        <v>11</v>
      </c>
      <c r="R8" s="23">
        <f>(B15+B22)</f>
        <v>0.39241999999999999</v>
      </c>
      <c r="S8" s="28">
        <f>(T8/R8)</f>
        <v>11.995642423933541</v>
      </c>
      <c r="T8" s="28">
        <f>(D15+D22)</f>
        <v>4.7073299999999998</v>
      </c>
    </row>
    <row r="9" spans="2:22">
      <c r="B9" s="23">
        <f>(0.00884882-0.00007521)</f>
        <v>8.7736100000000011E-3</v>
      </c>
      <c r="C9" s="28">
        <f t="shared" si="0"/>
        <v>31.913887214043022</v>
      </c>
      <c r="D9" s="28">
        <v>0.28000000000000003</v>
      </c>
      <c r="E9" s="28"/>
      <c r="N9" s="23">
        <f>(($B$15+$R$16)/5)</f>
        <v>0.10599873400000001</v>
      </c>
      <c r="O9" s="28">
        <f>($C$15*[1]Params!K11)</f>
        <v>64.216255886490117</v>
      </c>
      <c r="P9" s="28">
        <f>(O9*N9)</f>
        <v>6.806841826188001</v>
      </c>
      <c r="Q9" t="s">
        <v>11</v>
      </c>
      <c r="R9" s="23">
        <f>(B16+B20+B36-N16-N17)</f>
        <v>1.1195567300000002</v>
      </c>
      <c r="S9" s="28">
        <f>(T9/R9)</f>
        <v>29.993393024398141</v>
      </c>
      <c r="T9" s="28">
        <f>(D16+11.97*B20+B36*19.42078-N16*19.42078-N17*21.3811)</f>
        <v>33.579305015999999</v>
      </c>
      <c r="U9" t="s">
        <v>9</v>
      </c>
    </row>
    <row r="10" spans="2:22">
      <c r="B10" s="23">
        <v>0.10169404</v>
      </c>
      <c r="C10" s="28">
        <f t="shared" si="0"/>
        <v>35.006967959970908</v>
      </c>
      <c r="D10" s="28">
        <v>3.56</v>
      </c>
      <c r="E10" s="28"/>
      <c r="O10" s="28"/>
      <c r="P10" s="28"/>
      <c r="R10" s="24">
        <f>(B17)</f>
        <v>6.5143629999999994E-2</v>
      </c>
      <c r="S10" s="31">
        <f>(C17)</f>
        <v>0</v>
      </c>
      <c r="T10" s="32">
        <f>(D17)</f>
        <v>0</v>
      </c>
    </row>
    <row r="11" spans="2:22">
      <c r="B11" s="23">
        <v>-0.1</v>
      </c>
      <c r="C11" s="28">
        <f t="shared" si="0"/>
        <v>37.811999999999998</v>
      </c>
      <c r="D11" s="28">
        <v>-3.7812000000000001</v>
      </c>
      <c r="E11" s="28"/>
      <c r="O11" s="28"/>
      <c r="P11" s="28">
        <f>(SUM(P6:P9))</f>
        <v>14.124903892134387</v>
      </c>
      <c r="R11" s="23">
        <f>B18+B21+B38-N25</f>
        <v>0.83105782999999989</v>
      </c>
      <c r="S11" s="28">
        <f>(T11/R11)</f>
        <v>29.496020030278761</v>
      </c>
      <c r="T11" s="28">
        <f>(D18+12.6*B21+20.2393*B38-20.2393*N25)</f>
        <v>24.512898399999997</v>
      </c>
      <c r="U11" t="s">
        <v>15</v>
      </c>
    </row>
    <row r="12" spans="2:22">
      <c r="B12" s="23">
        <v>2.0999999999999999E-3</v>
      </c>
      <c r="C12" s="28">
        <v>0</v>
      </c>
      <c r="D12" s="28">
        <v>0</v>
      </c>
      <c r="E12" s="28">
        <f>(B12*$J$3)</f>
        <v>0.27368254740025838</v>
      </c>
      <c r="O12" s="28"/>
      <c r="P12" s="28"/>
      <c r="R12" s="23">
        <f>(B19)</f>
        <v>4.1474400000000002E-2</v>
      </c>
      <c r="S12" s="28">
        <f>(T12/R12)</f>
        <v>12.055629496749802</v>
      </c>
      <c r="T12" s="28">
        <f>(D19)</f>
        <v>0.5</v>
      </c>
    </row>
    <row r="13" spans="2:22">
      <c r="B13" s="23">
        <f>(0.60148-0.595318987)</f>
        <v>6.1610130000000485E-3</v>
      </c>
      <c r="C13" s="28">
        <v>0</v>
      </c>
      <c r="D13" s="28">
        <v>0</v>
      </c>
      <c r="E13" s="28">
        <f>(B13*$J$3)</f>
        <v>0.80293415828862924</v>
      </c>
      <c r="F13" s="29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8">
        <v>0</v>
      </c>
      <c r="T13" s="28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8">
        <v>0</v>
      </c>
      <c r="D14" s="28">
        <v>0</v>
      </c>
      <c r="E14" s="28">
        <f>(B14*$J$3)</f>
        <v>6.8782679762769222E-2</v>
      </c>
      <c r="I14" s="23"/>
      <c r="M14" t="s">
        <v>10</v>
      </c>
      <c r="N14" s="23">
        <f>(-B20)</f>
        <v>0.28089999999999998</v>
      </c>
      <c r="O14" s="28">
        <f>(C20)</f>
        <v>14.959772160911358</v>
      </c>
      <c r="P14" s="28">
        <f>(O14*N14)</f>
        <v>4.2022000000000004</v>
      </c>
      <c r="Q14" t="s">
        <v>11</v>
      </c>
      <c r="R14" s="23">
        <f>(B21-B21)</f>
        <v>0</v>
      </c>
      <c r="S14" s="28">
        <v>0</v>
      </c>
      <c r="T14" s="28">
        <f>(12.6*-B21+D21)</f>
        <v>-0.26295951999999989</v>
      </c>
      <c r="U14" t="s">
        <v>17</v>
      </c>
    </row>
    <row r="15" spans="2:22">
      <c r="B15" s="23">
        <v>0.49053000000000002</v>
      </c>
      <c r="C15" s="28">
        <f>(D15/B15)</f>
        <v>12.843251177298024</v>
      </c>
      <c r="D15" s="28">
        <v>6.3</v>
      </c>
      <c r="E15" s="28"/>
      <c r="N15" s="23">
        <f>-B36</f>
        <v>2.08</v>
      </c>
      <c r="O15" s="28">
        <f>C36</f>
        <v>31.395271514423076</v>
      </c>
      <c r="P15" s="28">
        <f>(O15*N15)</f>
        <v>65.302164750000003</v>
      </c>
      <c r="Q15" t="s">
        <v>11</v>
      </c>
      <c r="R15" s="26">
        <f>(B25+B26)+B42+B43</f>
        <v>5.9467390000000009E-2</v>
      </c>
      <c r="S15" s="63">
        <v>0</v>
      </c>
      <c r="T15" s="63">
        <f>(D25+D26)+D42+D43</f>
        <v>-2.6994419700000023</v>
      </c>
      <c r="U15" s="27" t="s">
        <v>82</v>
      </c>
      <c r="V15" s="64">
        <f>-T15+R15*$J$3</f>
        <v>10.449530914021267</v>
      </c>
    </row>
    <row r="16" spans="2:22">
      <c r="B16" s="23">
        <v>6.1332567300000003</v>
      </c>
      <c r="C16" s="28">
        <f>(D16/B16)</f>
        <v>21.463311548023196</v>
      </c>
      <c r="D16" s="28">
        <v>131.63999999999999</v>
      </c>
      <c r="E16" t="s">
        <v>9</v>
      </c>
      <c r="N16" s="23">
        <f>-B39-N25</f>
        <v>1.2328000000000001</v>
      </c>
      <c r="O16" s="28">
        <f>C39</f>
        <v>46.861096439187513</v>
      </c>
      <c r="P16" s="28">
        <f>(O16*N16)</f>
        <v>57.770359690230372</v>
      </c>
      <c r="Q16" t="s">
        <v>11</v>
      </c>
      <c r="R16" s="26">
        <f>(B27+B24+B32+B33+B28+B34)</f>
        <v>3.9463670000000006E-2</v>
      </c>
      <c r="S16" s="63">
        <v>0</v>
      </c>
      <c r="T16" s="63">
        <f>(D27+D24+D32+D33+D28+D34)</f>
        <v>-0.41275400000000007</v>
      </c>
      <c r="U16" s="27" t="s">
        <v>90</v>
      </c>
      <c r="V16" s="64">
        <f>-T16+R16*$J$3</f>
        <v>5.5558576835062645</v>
      </c>
    </row>
    <row r="17" spans="2:22">
      <c r="B17" s="24">
        <v>6.5143629999999994E-2</v>
      </c>
      <c r="C17" s="31">
        <v>0</v>
      </c>
      <c r="D17" s="32">
        <v>0</v>
      </c>
      <c r="E17" s="29">
        <f>B17*J3</f>
        <v>8.4898450501428062</v>
      </c>
      <c r="N17" s="23">
        <f>-B46</f>
        <v>1.42</v>
      </c>
      <c r="O17" s="28">
        <f>P17/N17</f>
        <v>129.44999999999999</v>
      </c>
      <c r="P17" s="28">
        <f>-D46</f>
        <v>183.81899999999999</v>
      </c>
      <c r="Q17" t="s">
        <v>11</v>
      </c>
      <c r="R17" s="26">
        <f>B30+B23+B29+B31+B41+B44</f>
        <v>0.31507262000000003</v>
      </c>
      <c r="S17" s="63">
        <v>0</v>
      </c>
      <c r="T17" s="63">
        <f>D30+D23+D29+D31+D41+D44</f>
        <v>-16.701520119999998</v>
      </c>
      <c r="U17" s="27" t="s">
        <v>91</v>
      </c>
      <c r="V17" s="64">
        <f>-T17+R17*$J$3</f>
        <v>57.763366433177907</v>
      </c>
    </row>
    <row r="18" spans="2:22">
      <c r="B18" s="23">
        <v>1.93449783</v>
      </c>
      <c r="C18" s="28">
        <f t="shared" ref="C18:C31" si="1">(D18/B18)</f>
        <v>23.933859879284537</v>
      </c>
      <c r="D18" s="28">
        <v>46.3</v>
      </c>
      <c r="E18" t="s">
        <v>15</v>
      </c>
      <c r="N18" s="23"/>
      <c r="O18" s="28"/>
      <c r="P18" s="28"/>
      <c r="R18" s="23">
        <f>B35</f>
        <v>-0.10885</v>
      </c>
      <c r="S18" s="29">
        <f>T18/R18</f>
        <v>23.941203491042717</v>
      </c>
      <c r="T18" s="29">
        <f>D35</f>
        <v>-2.6059999999999999</v>
      </c>
      <c r="U18" t="s">
        <v>92</v>
      </c>
    </row>
    <row r="19" spans="2:22">
      <c r="B19" s="23">
        <v>4.1474400000000002E-2</v>
      </c>
      <c r="C19" s="28">
        <f t="shared" si="1"/>
        <v>12.055629496749802</v>
      </c>
      <c r="D19" s="28">
        <v>0.5</v>
      </c>
      <c r="E19" s="28"/>
      <c r="O19" s="28"/>
      <c r="P19" s="28">
        <f>(SUM(P14:P17))</f>
        <v>311.0937244402304</v>
      </c>
      <c r="R19" s="23">
        <f>B36-B36</f>
        <v>0</v>
      </c>
      <c r="S19" s="29">
        <v>0</v>
      </c>
      <c r="T19" s="28">
        <f>D36-B36*19.42078</f>
        <v>-24.906942350000001</v>
      </c>
      <c r="U19" t="s">
        <v>93</v>
      </c>
    </row>
    <row r="20" spans="2:22">
      <c r="B20" s="23">
        <v>-0.28089999999999998</v>
      </c>
      <c r="C20" s="28">
        <f t="shared" si="1"/>
        <v>14.959772160911358</v>
      </c>
      <c r="D20" s="28">
        <v>-4.2022000000000004</v>
      </c>
      <c r="E20" s="28"/>
      <c r="N20" s="23"/>
      <c r="O20" s="28"/>
      <c r="P20" s="28"/>
      <c r="R20" s="23">
        <f>B37</f>
        <v>-0.1</v>
      </c>
      <c r="S20" s="28">
        <f>T20/R20</f>
        <v>31.194569999999995</v>
      </c>
      <c r="T20" s="28">
        <f>D37</f>
        <v>-3.1194569999999997</v>
      </c>
      <c r="U20" t="s">
        <v>94</v>
      </c>
    </row>
    <row r="21" spans="2:22">
      <c r="B21" s="23">
        <v>-7.1440000000000003E-2</v>
      </c>
      <c r="C21" s="28">
        <f t="shared" si="1"/>
        <v>16.280844344904814</v>
      </c>
      <c r="D21" s="28">
        <v>-1.1631035199999999</v>
      </c>
      <c r="E21" s="28"/>
      <c r="G21" s="29"/>
      <c r="I21" s="29"/>
      <c r="O21" s="28"/>
      <c r="P21" s="28"/>
      <c r="R21" s="23">
        <f>B38-B38</f>
        <v>0</v>
      </c>
      <c r="S21" s="28">
        <v>0</v>
      </c>
      <c r="T21" s="28">
        <f>D38-B38*20.2393</f>
        <v>-8.2515799200000011</v>
      </c>
      <c r="U21" t="s">
        <v>95</v>
      </c>
    </row>
    <row r="22" spans="2:22">
      <c r="B22" s="23">
        <v>-9.8110000000000003E-2</v>
      </c>
      <c r="C22" s="28">
        <f t="shared" si="1"/>
        <v>16.233513403322799</v>
      </c>
      <c r="D22" s="28">
        <v>-1.59267</v>
      </c>
      <c r="E22" s="28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8">
        <v>0</v>
      </c>
      <c r="T22" s="28">
        <f>-57.77+(N16)*19.42078</f>
        <v>-33.828062416000002</v>
      </c>
      <c r="U22" t="s">
        <v>96</v>
      </c>
    </row>
    <row r="23" spans="2:22">
      <c r="B23" s="23">
        <v>-0.31</v>
      </c>
      <c r="C23" s="28">
        <f t="shared" si="1"/>
        <v>18.399999999999999</v>
      </c>
      <c r="D23" s="28">
        <v>-5.7039999999999997</v>
      </c>
      <c r="E23" s="28"/>
      <c r="M23" t="s">
        <v>10</v>
      </c>
      <c r="N23" s="23">
        <f>(-B21)</f>
        <v>7.1440000000000003E-2</v>
      </c>
      <c r="O23" s="28">
        <f>(C21)</f>
        <v>16.280844344904814</v>
      </c>
      <c r="P23" s="28">
        <f>(O23*N23)</f>
        <v>1.1631035199999999</v>
      </c>
      <c r="Q23" t="s">
        <v>11</v>
      </c>
      <c r="R23" s="23">
        <f>N25-N25</f>
        <v>0</v>
      </c>
      <c r="S23" s="29">
        <v>0</v>
      </c>
      <c r="T23" s="29">
        <f>-P25+N25*20.2393</f>
        <v>-10.169526239769629</v>
      </c>
      <c r="U23" t="s">
        <v>97</v>
      </c>
    </row>
    <row r="24" spans="2:22">
      <c r="B24" s="23">
        <v>-9.8095000000000002E-2</v>
      </c>
      <c r="C24" s="28">
        <f t="shared" si="1"/>
        <v>22.019470921045926</v>
      </c>
      <c r="D24" s="28">
        <v>-2.16</v>
      </c>
      <c r="E24" s="28"/>
      <c r="N24" s="23">
        <f>-B38</f>
        <v>0.65</v>
      </c>
      <c r="O24" s="28">
        <f>($S$11*[1]Params!K9)</f>
        <v>47.19363204844602</v>
      </c>
      <c r="P24" s="28">
        <f>(O24*N24)</f>
        <v>30.675860831489913</v>
      </c>
      <c r="Q24" t="s">
        <v>11</v>
      </c>
      <c r="R24" s="23">
        <f>B40</f>
        <v>-0.10879999999999999</v>
      </c>
      <c r="S24" s="28">
        <f>C40</f>
        <v>58.381847426470586</v>
      </c>
      <c r="T24" s="28">
        <f>D40</f>
        <v>-6.3519449999999997</v>
      </c>
      <c r="U24" t="s">
        <v>98</v>
      </c>
    </row>
    <row r="25" spans="2:22">
      <c r="B25" s="23">
        <f>(-0.05715)</f>
        <v>-5.7149999999999999E-2</v>
      </c>
      <c r="C25" s="28">
        <f t="shared" si="1"/>
        <v>22.045157130358703</v>
      </c>
      <c r="D25" s="28">
        <v>-1.2598807299999999</v>
      </c>
      <c r="E25" s="28"/>
      <c r="N25" s="23">
        <f>0.382</f>
        <v>0.38200000000000001</v>
      </c>
      <c r="O25" s="28">
        <f>C39</f>
        <v>46.861096439187513</v>
      </c>
      <c r="P25" s="28">
        <f>(O25*N25)</f>
        <v>17.90093883976963</v>
      </c>
      <c r="Q25" t="s">
        <v>11</v>
      </c>
      <c r="R25" s="23">
        <f>N17-N17</f>
        <v>0</v>
      </c>
      <c r="S25" s="28">
        <v>0</v>
      </c>
      <c r="T25" s="28">
        <f>-P17+N17*21.3811</f>
        <v>-153.45783799999998</v>
      </c>
      <c r="U25" t="s">
        <v>99</v>
      </c>
    </row>
    <row r="26" spans="2:22">
      <c r="B26" s="23">
        <v>6.3534430000000003E-2</v>
      </c>
      <c r="C26" s="28">
        <f t="shared" si="1"/>
        <v>18.730001984750629</v>
      </c>
      <c r="D26" s="28">
        <v>1.19</v>
      </c>
      <c r="E26" s="28"/>
      <c r="N26" s="23">
        <f>4*($B$18+$R$15)/5-$N$25-$N$24-$N$23</f>
        <v>0.49173217600000002</v>
      </c>
      <c r="O26" s="28">
        <f>($S$11*[1]Params!K11)</f>
        <v>147.4801001513938</v>
      </c>
      <c r="P26" s="28">
        <f>O26*N26</f>
        <v>72.520710564142803</v>
      </c>
    </row>
    <row r="27" spans="2:22">
      <c r="B27" s="23">
        <f>(0.02767109+0.08304053-0.00094104)</f>
        <v>0.10977057999999999</v>
      </c>
      <c r="C27" s="28">
        <f t="shared" si="1"/>
        <v>18.584214458919686</v>
      </c>
      <c r="D27" s="28">
        <v>2.04</v>
      </c>
      <c r="E27" s="28"/>
      <c r="O27" s="28"/>
      <c r="P27" s="28"/>
    </row>
    <row r="28" spans="2:22">
      <c r="B28" s="23">
        <v>-0.10199999999999999</v>
      </c>
      <c r="C28" s="28">
        <f t="shared" si="1"/>
        <v>22.114333333333335</v>
      </c>
      <c r="D28" s="28">
        <f>(-2.275+0.019338)</f>
        <v>-2.2556620000000001</v>
      </c>
      <c r="E28" s="28"/>
      <c r="O28" s="28"/>
      <c r="P28" s="28">
        <f>(SUM(P23:P26))</f>
        <v>122.26061375540235</v>
      </c>
    </row>
    <row r="29" spans="2:22">
      <c r="B29" s="23">
        <v>0.11322</v>
      </c>
      <c r="C29" s="28">
        <f t="shared" si="1"/>
        <v>18.812930577636457</v>
      </c>
      <c r="D29" s="28">
        <v>2.13</v>
      </c>
      <c r="E29" s="28"/>
      <c r="N29" s="23"/>
      <c r="R29" s="23"/>
      <c r="S29" s="28"/>
      <c r="T29" s="28"/>
    </row>
    <row r="30" spans="2:22">
      <c r="B30" s="23">
        <v>0.34735262</v>
      </c>
      <c r="C30" s="28">
        <f t="shared" si="1"/>
        <v>15.48858333067993</v>
      </c>
      <c r="D30" s="28">
        <v>5.38</v>
      </c>
      <c r="E30" s="28"/>
      <c r="N30" s="23"/>
      <c r="P30" s="23"/>
      <c r="R30" s="23"/>
      <c r="S30" s="28"/>
      <c r="T30" s="28"/>
    </row>
    <row r="31" spans="2:22">
      <c r="B31" s="23">
        <v>-0.1055</v>
      </c>
      <c r="C31" s="28">
        <f t="shared" si="1"/>
        <v>21.432719620853081</v>
      </c>
      <c r="D31" s="28">
        <v>-2.2611519200000001</v>
      </c>
      <c r="E31" s="28"/>
      <c r="S31" s="28"/>
      <c r="T31" s="28"/>
    </row>
    <row r="32" spans="2:22">
      <c r="B32" s="23">
        <v>-0.1</v>
      </c>
      <c r="C32" s="28">
        <f t="shared" ref="C32:C44" si="2">D32/B32</f>
        <v>28.47092</v>
      </c>
      <c r="D32" s="28">
        <f>-2.8715+0.024408</f>
        <v>-2.847092</v>
      </c>
      <c r="E32" s="28"/>
      <c r="S32" s="28"/>
      <c r="T32" s="28"/>
    </row>
    <row r="33" spans="2:23">
      <c r="B33" s="23">
        <f>0.11560694-0.00098265-0.0000162</f>
        <v>0.11460809000000001</v>
      </c>
      <c r="C33" s="28">
        <f t="shared" si="2"/>
        <v>23.38403859622824</v>
      </c>
      <c r="D33" s="28">
        <v>2.68</v>
      </c>
      <c r="E33" s="28"/>
      <c r="S33" s="28"/>
      <c r="T33" s="28"/>
      <c r="U33" s="29"/>
    </row>
    <row r="34" spans="2:23">
      <c r="B34" s="23">
        <v>0.11518</v>
      </c>
      <c r="C34" s="28">
        <f t="shared" si="2"/>
        <v>18.492793887827744</v>
      </c>
      <c r="D34" s="28">
        <v>2.13</v>
      </c>
      <c r="E34" s="28"/>
      <c r="S34" s="28"/>
      <c r="T34" s="28"/>
    </row>
    <row r="35" spans="2:23">
      <c r="B35" s="23">
        <v>-0.10885</v>
      </c>
      <c r="C35" s="28">
        <f t="shared" si="2"/>
        <v>23.941203491042717</v>
      </c>
      <c r="D35" s="28">
        <v>-2.6059999999999999</v>
      </c>
      <c r="E35" s="28"/>
      <c r="F35" s="23"/>
      <c r="H35" s="29"/>
      <c r="J35" s="29"/>
      <c r="S35" s="28"/>
      <c r="T35" s="28"/>
    </row>
    <row r="36" spans="2:23">
      <c r="B36" s="23">
        <v>-2.08</v>
      </c>
      <c r="C36" s="28">
        <f t="shared" si="2"/>
        <v>31.395271514423076</v>
      </c>
      <c r="D36" s="28">
        <v>-65.302164750000003</v>
      </c>
      <c r="E36" s="28"/>
      <c r="S36" s="28"/>
      <c r="T36" s="28"/>
    </row>
    <row r="37" spans="2:23">
      <c r="B37" s="23">
        <v>-0.1</v>
      </c>
      <c r="C37" s="28">
        <f t="shared" si="2"/>
        <v>31.194569999999995</v>
      </c>
      <c r="D37" s="28">
        <f>-3.1462+0.026743</f>
        <v>-3.1194569999999997</v>
      </c>
      <c r="E37" s="28"/>
      <c r="S37" s="28"/>
      <c r="T37" s="28"/>
    </row>
    <row r="38" spans="2:23">
      <c r="B38" s="23">
        <v>-0.65</v>
      </c>
      <c r="C38" s="28">
        <f t="shared" si="2"/>
        <v>32.934038338461541</v>
      </c>
      <c r="D38" s="28">
        <f>-21.40712492</f>
        <v>-21.407124920000001</v>
      </c>
      <c r="E38" s="28"/>
      <c r="N38" s="23"/>
      <c r="P38" s="29"/>
      <c r="Q38" s="29"/>
      <c r="S38" s="28"/>
      <c r="T38" s="28"/>
    </row>
    <row r="39" spans="2:23">
      <c r="B39" s="23">
        <v>-1.6148</v>
      </c>
      <c r="C39" s="28">
        <f t="shared" si="2"/>
        <v>46.861096439187513</v>
      </c>
      <c r="D39" s="28">
        <v>-75.671298530000001</v>
      </c>
      <c r="E39" s="28"/>
      <c r="N39" s="23">
        <f>N16+N25</f>
        <v>1.6148000000000002</v>
      </c>
      <c r="S39" s="28"/>
      <c r="T39" s="28"/>
    </row>
    <row r="40" spans="2:23">
      <c r="B40" s="23">
        <v>-0.10879999999999999</v>
      </c>
      <c r="C40" s="28">
        <f t="shared" si="2"/>
        <v>58.381847426470586</v>
      </c>
      <c r="D40" s="28">
        <f>-6.4064+0.054455</f>
        <v>-6.3519449999999997</v>
      </c>
      <c r="E40" s="28"/>
      <c r="S40" s="28"/>
      <c r="T40" s="28"/>
    </row>
    <row r="41" spans="2:23">
      <c r="B41" s="23">
        <v>-1.23</v>
      </c>
      <c r="C41" s="28">
        <f t="shared" si="2"/>
        <v>111.1711694390244</v>
      </c>
      <c r="D41" s="28">
        <v>-136.74053841</v>
      </c>
      <c r="E41" s="28"/>
      <c r="S41" s="28"/>
      <c r="T41" s="28"/>
    </row>
    <row r="42" spans="2:23">
      <c r="B42" s="23">
        <v>-0.375</v>
      </c>
      <c r="C42" s="28">
        <f t="shared" si="2"/>
        <v>123.01216330666666</v>
      </c>
      <c r="D42" s="28">
        <v>-46.129561240000001</v>
      </c>
      <c r="E42" s="28"/>
      <c r="S42" s="28"/>
      <c r="T42" s="28"/>
    </row>
    <row r="43" spans="2:23">
      <c r="B43" s="23">
        <v>0.42808296000000001</v>
      </c>
      <c r="C43" s="28">
        <f t="shared" si="2"/>
        <v>101.61581764431828</v>
      </c>
      <c r="D43" s="28">
        <v>43.5</v>
      </c>
      <c r="E43" s="28"/>
      <c r="S43" s="28"/>
      <c r="T43" s="28"/>
    </row>
    <row r="44" spans="2:23">
      <c r="B44" s="23">
        <v>1.5</v>
      </c>
      <c r="C44" s="28">
        <f t="shared" si="2"/>
        <v>80.329446806666667</v>
      </c>
      <c r="D44" s="28">
        <f>120.49417021</f>
        <v>120.49417020999999</v>
      </c>
      <c r="E44" s="28"/>
      <c r="S44" s="28"/>
      <c r="T44" s="28"/>
    </row>
    <row r="45" spans="2:23">
      <c r="B45" s="24">
        <v>1.186428E-2</v>
      </c>
      <c r="C45" s="31">
        <v>0</v>
      </c>
      <c r="D45" s="32">
        <v>0</v>
      </c>
      <c r="E45" s="29">
        <f>B45*$J$3</f>
        <v>1.5462125587952082</v>
      </c>
      <c r="S45" s="28"/>
      <c r="T45" s="28"/>
    </row>
    <row r="46" spans="2:23">
      <c r="B46" s="23">
        <v>-1.42</v>
      </c>
      <c r="C46" s="28">
        <f>D46/B46</f>
        <v>129.44999999999999</v>
      </c>
      <c r="D46" s="28">
        <v>-183.81899999999999</v>
      </c>
      <c r="E46" s="28"/>
      <c r="S46" s="28"/>
      <c r="T46" s="28"/>
    </row>
    <row r="47" spans="2:23">
      <c r="C47" s="28"/>
      <c r="D47" s="28"/>
      <c r="E47" s="28"/>
      <c r="S47" s="28"/>
      <c r="T47" s="28"/>
    </row>
    <row r="48" spans="2:23">
      <c r="B48" s="23">
        <f>(SUM(B5:B47))</f>
        <v>2.8654813709999996</v>
      </c>
      <c r="C48" s="28"/>
      <c r="D48" s="28">
        <f>(SUM(D5:D47))</f>
        <v>-142.59927041000003</v>
      </c>
      <c r="E48" s="28"/>
      <c r="F48" t="s">
        <v>12</v>
      </c>
      <c r="G48" s="28">
        <f>(D48/B48)</f>
        <v>-49.764507929861551</v>
      </c>
      <c r="R48" s="23">
        <f>(SUM(R5:R36))</f>
        <v>2.8536170909999998</v>
      </c>
      <c r="S48" s="28"/>
      <c r="T48" s="28">
        <f>(SUM(T5:T36))</f>
        <v>-142.60127027976961</v>
      </c>
      <c r="V48" t="s">
        <v>12</v>
      </c>
      <c r="W48" s="28">
        <f>(T48/R48)</f>
        <v>-49.972111089998236</v>
      </c>
    </row>
    <row r="49" spans="13:20">
      <c r="M49" s="23"/>
      <c r="S49" s="28"/>
      <c r="T49" s="28"/>
    </row>
    <row r="52" spans="13:20">
      <c r="N52" s="23"/>
    </row>
  </sheetData>
  <conditionalFormatting sqref="C5 C8:C10 S5">
    <cfRule type="cellIs" dxfId="53" priority="117" operator="lessThan">
      <formula>$J$3</formula>
    </cfRule>
    <cfRule type="cellIs" dxfId="52" priority="118" operator="greaterThan">
      <formula>$J$3</formula>
    </cfRule>
  </conditionalFormatting>
  <conditionalFormatting sqref="C15:C16">
    <cfRule type="cellIs" dxfId="51" priority="101" operator="lessThan">
      <formula>$J$3</formula>
    </cfRule>
    <cfRule type="cellIs" dxfId="50" priority="102" operator="greaterThan">
      <formula>$J$3</formula>
    </cfRule>
    <cfRule type="cellIs" dxfId="49" priority="103" operator="lessThan">
      <formula>$J$3</formula>
    </cfRule>
    <cfRule type="cellIs" dxfId="48" priority="104" operator="greaterThan">
      <formula>$J$3</formula>
    </cfRule>
    <cfRule type="cellIs" dxfId="47" priority="111" operator="lessThan">
      <formula>$J$3</formula>
    </cfRule>
    <cfRule type="cellIs" dxfId="46" priority="112" operator="greaterThan">
      <formula>$J$3</formula>
    </cfRule>
  </conditionalFormatting>
  <conditionalFormatting sqref="C18:C19 G48 W48">
    <cfRule type="cellIs" dxfId="45" priority="95" operator="lessThan">
      <formula>$J$3</formula>
    </cfRule>
    <cfRule type="cellIs" dxfId="44" priority="96" operator="greaterThan">
      <formula>$J$3</formula>
    </cfRule>
    <cfRule type="cellIs" dxfId="43" priority="97" operator="lessThan">
      <formula>$J$3</formula>
    </cfRule>
    <cfRule type="cellIs" dxfId="42" priority="98" operator="greaterThan">
      <formula>$J$3</formula>
    </cfRule>
    <cfRule type="cellIs" dxfId="41" priority="99" operator="lessThan">
      <formula>$J$3</formula>
    </cfRule>
    <cfRule type="cellIs" dxfId="40" priority="100" operator="greaterThan">
      <formula>$J$3</formula>
    </cfRule>
    <cfRule type="cellIs" dxfId="39" priority="109" operator="lessThan">
      <formula>$J$3</formula>
    </cfRule>
    <cfRule type="cellIs" dxfId="38" priority="110" operator="greaterThan">
      <formula>$J$3</formula>
    </cfRule>
  </conditionalFormatting>
  <conditionalFormatting sqref="C26:C27 C29:C30 C33:C34 C43:C44">
    <cfRule type="cellIs" dxfId="37" priority="87" operator="lessThan">
      <formula>$J$3</formula>
    </cfRule>
    <cfRule type="cellIs" dxfId="36" priority="88" operator="greaterThan">
      <formula>$J$3</formula>
    </cfRule>
    <cfRule type="cellIs" dxfId="35" priority="89" operator="lessThan">
      <formula>$J$3</formula>
    </cfRule>
    <cfRule type="cellIs" dxfId="34" priority="90" operator="greaterThan">
      <formula>$J$3</formula>
    </cfRule>
    <cfRule type="cellIs" dxfId="33" priority="91" operator="lessThan">
      <formula>$J$3</formula>
    </cfRule>
    <cfRule type="cellIs" dxfId="32" priority="92" operator="greaterThan">
      <formula>$J$3</formula>
    </cfRule>
    <cfRule type="cellIs" dxfId="31" priority="93" operator="lessThan">
      <formula>$J$3</formula>
    </cfRule>
    <cfRule type="cellIs" dxfId="30" priority="94" operator="greaterThan">
      <formula>$J$3</formula>
    </cfRule>
    <cfRule type="cellIs" dxfId="29" priority="107" operator="lessThan">
      <formula>$J$3</formula>
    </cfRule>
    <cfRule type="cellIs" dxfId="28" priority="108" operator="greaterThan">
      <formula>$J$3</formula>
    </cfRule>
  </conditionalFormatting>
  <conditionalFormatting sqref="O26 S8:S9 S11:S12">
    <cfRule type="cellIs" dxfId="27" priority="81" operator="lessThan">
      <formula>$J$3</formula>
    </cfRule>
    <cfRule type="cellIs" dxfId="26" priority="82" operator="greaterThan">
      <formula>$J$3</formula>
    </cfRule>
    <cfRule type="cellIs" dxfId="25" priority="83" operator="lessThan">
      <formula>$J$3</formula>
    </cfRule>
    <cfRule type="cellIs" dxfId="24" priority="84" operator="greaterThan">
      <formula>$J$3</formula>
    </cfRule>
  </conditionalFormatting>
  <conditionalFormatting sqref="O3">
    <cfRule type="cellIs" dxfId="23" priority="63" operator="greaterThan">
      <formula>$J$3</formula>
    </cfRule>
    <cfRule type="cellIs" dxfId="22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9">
        <v>0.1409502622556725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8">
        <f>(B13*J3)</f>
        <v>1.3209326632311875</v>
      </c>
      <c r="K4" s="4">
        <f>(J4/D13-1)</f>
        <v>1.641865326462375</v>
      </c>
    </row>
    <row r="5" spans="2:17">
      <c r="B5" s="18">
        <v>9.10125837</v>
      </c>
      <c r="C5" s="49">
        <f>(D5/B5)</f>
        <v>5.4937458060538499E-2</v>
      </c>
      <c r="D5" s="28">
        <v>0.5</v>
      </c>
      <c r="E5" s="28"/>
      <c r="G5" s="28"/>
      <c r="N5" t="s">
        <v>30</v>
      </c>
      <c r="O5" t="s">
        <v>1</v>
      </c>
      <c r="P5" t="s">
        <v>2</v>
      </c>
    </row>
    <row r="6" spans="2:17">
      <c r="B6" s="19">
        <v>0.27036422999999998</v>
      </c>
      <c r="C6" s="31">
        <v>0</v>
      </c>
      <c r="D6" s="32">
        <f>(B6*C6)</f>
        <v>0</v>
      </c>
      <c r="E6" s="28">
        <f>(B6*J3)</f>
        <v>3.8107909123052959E-2</v>
      </c>
      <c r="G6" s="28"/>
      <c r="M6" t="s">
        <v>10</v>
      </c>
      <c r="N6" s="18">
        <f>($B$13/5)</f>
        <v>1.87432452</v>
      </c>
      <c r="O6" s="49">
        <f>($C$5*[1]Params!K8)</f>
        <v>7.1418695478700056E-2</v>
      </c>
      <c r="P6" s="28">
        <f>(O6*N6)</f>
        <v>0.13386181212214066</v>
      </c>
      <c r="Q6" s="28">
        <f>N6*$J$3</f>
        <v>0.26418653264623748</v>
      </c>
    </row>
    <row r="7" spans="2:17">
      <c r="C7" s="28"/>
      <c r="D7" s="28"/>
      <c r="E7" s="28"/>
      <c r="G7" s="28"/>
      <c r="N7" s="18">
        <f>($B$13/5)</f>
        <v>1.87432452</v>
      </c>
      <c r="O7" s="49">
        <f>($C$5*[1]Params!K9)</f>
        <v>8.7899932896861599E-2</v>
      </c>
      <c r="P7" s="28">
        <f>(O7*N7)</f>
        <v>0.16475299953494232</v>
      </c>
      <c r="Q7" s="28">
        <f>Q6*2</f>
        <v>0.52837306529247496</v>
      </c>
    </row>
    <row r="8" spans="2:17">
      <c r="C8" s="28"/>
      <c r="D8" s="28"/>
      <c r="E8" s="28"/>
      <c r="G8" s="28"/>
      <c r="N8" s="18">
        <f>($B$13/5)</f>
        <v>1.87432452</v>
      </c>
      <c r="O8" s="49">
        <f>($C$5*[1]Params!K10)</f>
        <v>0.12086240773318471</v>
      </c>
      <c r="P8" s="28">
        <f>(O8*N8)</f>
        <v>0.22653537436054574</v>
      </c>
      <c r="Q8" s="28">
        <f>Q6*3</f>
        <v>0.79255959793871245</v>
      </c>
    </row>
    <row r="9" spans="2:17">
      <c r="C9" s="28"/>
      <c r="D9" s="28"/>
      <c r="E9" s="28"/>
      <c r="G9" s="28"/>
      <c r="N9" s="18">
        <f>($B$13/5)</f>
        <v>1.87432452</v>
      </c>
      <c r="O9" s="49">
        <f>($C$5*[1]Params!K11)</f>
        <v>0.27468729030269251</v>
      </c>
      <c r="P9" s="28">
        <f>(O9*N9)</f>
        <v>0.51485312354669477</v>
      </c>
      <c r="Q9" s="28">
        <f>Q6*4</f>
        <v>1.0567461305849499</v>
      </c>
    </row>
    <row r="10" spans="2:17">
      <c r="C10" s="28"/>
      <c r="D10" s="28"/>
      <c r="E10" s="28"/>
      <c r="G10" s="28"/>
      <c r="O10" s="28"/>
      <c r="P10" s="28"/>
    </row>
    <row r="11" spans="2:17">
      <c r="C11" s="28"/>
      <c r="D11" s="28"/>
      <c r="E11" s="28"/>
      <c r="G11" s="28"/>
      <c r="O11" s="28"/>
      <c r="P11" s="28">
        <f>(SUM(P6:P9))</f>
        <v>1.0400033095643235</v>
      </c>
    </row>
    <row r="12" spans="2:17">
      <c r="C12" s="28"/>
      <c r="D12" s="28"/>
      <c r="E12" s="28"/>
      <c r="F12" t="s">
        <v>12</v>
      </c>
      <c r="G12" s="28">
        <f>(D13/B13)</f>
        <v>5.3352553910995089E-2</v>
      </c>
    </row>
    <row r="13" spans="2:17">
      <c r="B13">
        <f>(SUM(B5:B12))</f>
        <v>9.3716226000000002</v>
      </c>
      <c r="C13" s="28"/>
      <c r="D13" s="28">
        <f>(SUM(D5:D12))</f>
        <v>0.5</v>
      </c>
      <c r="E13" s="28"/>
      <c r="G13" s="28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20"/>
  <sheetViews>
    <sheetView workbookViewId="0">
      <selection activeCell="K13" sqref="K1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8"/>
      <c r="D3" s="28"/>
      <c r="E3" s="28"/>
      <c r="G3" s="28"/>
      <c r="H3" s="28"/>
      <c r="I3" t="s">
        <v>3</v>
      </c>
      <c r="J3" s="28">
        <v>12.52009481813027</v>
      </c>
      <c r="M3" t="s">
        <v>4</v>
      </c>
      <c r="N3" s="1">
        <f>(INDEX(N5:N16,MATCH(MAX(O6:O7),O5:O16,0))/0.85)</f>
        <v>0.6705882352941176</v>
      </c>
      <c r="O3" s="58">
        <f>(MAX(O6:O7)*0.75)</f>
        <v>8.3443972500000001</v>
      </c>
      <c r="P3" s="28">
        <f>(O3*N3)</f>
        <v>5.595654626470588</v>
      </c>
    </row>
    <row r="4" spans="2:22">
      <c r="B4" t="s">
        <v>5</v>
      </c>
      <c r="C4" t="s">
        <v>6</v>
      </c>
      <c r="D4" t="s">
        <v>7</v>
      </c>
      <c r="E4" s="28"/>
      <c r="G4" s="28"/>
      <c r="H4" s="28"/>
      <c r="I4" t="s">
        <v>8</v>
      </c>
      <c r="J4" s="28">
        <f>(B12*J3)</f>
        <v>21.580176797429274</v>
      </c>
      <c r="K4" s="4">
        <f>(J4/D12-1)</f>
        <v>3.2431487232106875</v>
      </c>
      <c r="O4" s="28"/>
      <c r="P4" s="28"/>
      <c r="R4" t="s">
        <v>5</v>
      </c>
      <c r="S4" t="s">
        <v>6</v>
      </c>
      <c r="T4" t="s">
        <v>7</v>
      </c>
    </row>
    <row r="5" spans="2:22">
      <c r="B5" s="1">
        <v>2.7557541099999998</v>
      </c>
      <c r="C5" s="28">
        <f>(D5/B5)</f>
        <v>5.7697455452583908</v>
      </c>
      <c r="D5" s="28">
        <v>15.9</v>
      </c>
      <c r="E5" t="s">
        <v>80</v>
      </c>
      <c r="G5" s="28"/>
      <c r="H5" s="28"/>
      <c r="J5" s="28"/>
      <c r="M5" t="s">
        <v>80</v>
      </c>
      <c r="N5" t="s">
        <v>30</v>
      </c>
      <c r="O5" t="s">
        <v>1</v>
      </c>
      <c r="P5" t="s">
        <v>2</v>
      </c>
      <c r="R5" s="1">
        <f>$B$5+B9+B10</f>
        <v>1.6478541099999999</v>
      </c>
      <c r="S5" s="28">
        <f>(T5/R5)</f>
        <v>5.7988120380389745</v>
      </c>
      <c r="T5" s="28">
        <f>D5+5.6807*B9+5.769746*B10</f>
        <v>9.5555962500000007</v>
      </c>
    </row>
    <row r="6" spans="2:22">
      <c r="B6" s="2">
        <v>2.7891299999999999E-3</v>
      </c>
      <c r="C6" s="31">
        <v>0</v>
      </c>
      <c r="D6" s="31">
        <f>(B6*C6)</f>
        <v>0</v>
      </c>
      <c r="E6" s="28">
        <f>(B6*J3)</f>
        <v>3.4920172060091681E-2</v>
      </c>
      <c r="G6" s="28"/>
      <c r="H6" s="28"/>
      <c r="J6" s="28"/>
      <c r="M6" t="s">
        <v>10</v>
      </c>
      <c r="N6" s="1">
        <f>-B9</f>
        <v>0.53790000000000004</v>
      </c>
      <c r="O6" s="49">
        <f>P6/N6</f>
        <v>7.5838088306376648</v>
      </c>
      <c r="P6" s="28">
        <f>-D9</f>
        <v>4.0793307700000003</v>
      </c>
      <c r="Q6" t="s">
        <v>11</v>
      </c>
      <c r="R6" s="2">
        <f>(B6)</f>
        <v>2.7891299999999999E-3</v>
      </c>
      <c r="S6" s="31">
        <f>0</f>
        <v>0</v>
      </c>
      <c r="T6" s="31">
        <f>(D6)</f>
        <v>0</v>
      </c>
    </row>
    <row r="7" spans="2:22">
      <c r="B7" s="1">
        <f>-0.409</f>
        <v>-0.40899999999999997</v>
      </c>
      <c r="C7" s="28">
        <f>D7/B7</f>
        <v>7.570026161369193</v>
      </c>
      <c r="D7" s="28">
        <f>-3.0961407</f>
        <v>-3.0961406999999999</v>
      </c>
      <c r="E7" s="28"/>
      <c r="G7" s="28"/>
      <c r="H7" s="28"/>
      <c r="J7" s="28"/>
      <c r="N7" s="1">
        <f>-B10</f>
        <v>0.56999999999999995</v>
      </c>
      <c r="O7" s="49">
        <f>P7/N7</f>
        <v>11.125863000000001</v>
      </c>
      <c r="P7" s="28">
        <f>-D10</f>
        <v>6.3417419099999996</v>
      </c>
      <c r="Q7" t="s">
        <v>11</v>
      </c>
      <c r="R7" s="1">
        <f>B7+B8</f>
        <v>7.3000000000000009E-2</v>
      </c>
      <c r="S7" s="28">
        <v>0</v>
      </c>
      <c r="T7" s="28">
        <f>D7+D8</f>
        <v>-0.3930398799999999</v>
      </c>
      <c r="U7" t="s">
        <v>81</v>
      </c>
      <c r="V7" s="29">
        <f>R7*J3-T7</f>
        <v>1.3070068017235097</v>
      </c>
    </row>
    <row r="8" spans="2:22">
      <c r="B8" s="1">
        <v>0.48199999999999998</v>
      </c>
      <c r="C8" s="28">
        <f>(D8/B8)</f>
        <v>5.608092987551867</v>
      </c>
      <c r="D8" s="28">
        <v>2.70310082</v>
      </c>
      <c r="E8" s="28"/>
      <c r="G8" s="28"/>
      <c r="H8" s="28"/>
      <c r="J8" s="28"/>
      <c r="N8" s="1">
        <f>$B$12/3</f>
        <v>0.57454774666666675</v>
      </c>
      <c r="O8" s="49">
        <f>($C$5*[1]Params!K10)</f>
        <v>12.69344019956846</v>
      </c>
      <c r="P8" s="28">
        <f>(O8*N8)</f>
        <v>7.2929874641101433</v>
      </c>
      <c r="R8" s="1">
        <f>B9-B9</f>
        <v>0</v>
      </c>
      <c r="S8" s="28">
        <v>0</v>
      </c>
      <c r="T8" s="29">
        <f>-P6+N6*5.6808</f>
        <v>-1.0236284500000004</v>
      </c>
    </row>
    <row r="9" spans="2:22">
      <c r="B9" s="1">
        <v>-0.53790000000000004</v>
      </c>
      <c r="C9" s="28">
        <f>D9/B9</f>
        <v>7.5838088306376648</v>
      </c>
      <c r="D9" s="28">
        <f>-4.07933077</f>
        <v>-4.0793307700000003</v>
      </c>
      <c r="E9" s="28"/>
      <c r="G9" s="28"/>
      <c r="H9" s="28"/>
      <c r="J9" s="28"/>
      <c r="N9" s="1">
        <f>$B$12/3</f>
        <v>0.57454774666666675</v>
      </c>
      <c r="O9" s="49">
        <f>($C$5*[1]Params!K11)</f>
        <v>28.848727726291955</v>
      </c>
      <c r="P9" s="28">
        <f>(O9*N9)</f>
        <v>16.574971509341236</v>
      </c>
      <c r="R9" s="1">
        <f>B10-B10</f>
        <v>0</v>
      </c>
      <c r="S9" s="28">
        <v>0</v>
      </c>
      <c r="T9" s="29">
        <f>-P7+N7*5.763746</f>
        <v>-3.0564066899999998</v>
      </c>
    </row>
    <row r="10" spans="2:22">
      <c r="B10" s="1">
        <f>-0.57</f>
        <v>-0.56999999999999995</v>
      </c>
      <c r="C10" s="28">
        <f>D10/B10</f>
        <v>11.125863000000001</v>
      </c>
      <c r="D10" s="28">
        <f>-(6.34809*0.999)</f>
        <v>-6.3417419099999996</v>
      </c>
      <c r="E10" s="28"/>
      <c r="G10" s="28"/>
      <c r="H10" s="28"/>
      <c r="J10" s="28"/>
      <c r="N10" s="1"/>
      <c r="O10" s="49"/>
      <c r="P10" s="28"/>
      <c r="R10" s="18"/>
      <c r="S10" s="29"/>
      <c r="T10" s="29"/>
    </row>
    <row r="11" spans="2:22">
      <c r="C11" s="28"/>
      <c r="D11" s="28"/>
      <c r="E11" s="28"/>
      <c r="F11" t="s">
        <v>12</v>
      </c>
      <c r="G11" s="28">
        <f>(D12/B12)</f>
        <v>2.9506613213068382</v>
      </c>
      <c r="H11" s="28"/>
      <c r="J11" s="28"/>
      <c r="O11" s="28"/>
      <c r="P11" s="28">
        <f>(SUM(P6:P9))</f>
        <v>34.289031653451374</v>
      </c>
    </row>
    <row r="12" spans="2:22">
      <c r="B12" s="1">
        <f>(SUM(B5:B11))</f>
        <v>1.7236432400000004</v>
      </c>
      <c r="C12" s="28"/>
      <c r="D12" s="28">
        <f>(SUM(D5:D11))</f>
        <v>5.0858874400000005</v>
      </c>
      <c r="E12" s="28"/>
      <c r="G12" s="28"/>
      <c r="H12" s="28"/>
      <c r="J12" s="28"/>
    </row>
    <row r="14" spans="2:22">
      <c r="O14" s="28"/>
      <c r="P14" s="28"/>
    </row>
    <row r="15" spans="2:22">
      <c r="O15" s="28"/>
      <c r="P15" s="28"/>
    </row>
    <row r="20" spans="18:20">
      <c r="R20">
        <f>(SUM(R5:R19))</f>
        <v>1.7236432399999999</v>
      </c>
      <c r="T20" s="28">
        <f>(SUM(T5:T19))</f>
        <v>5.0825212300000011</v>
      </c>
    </row>
  </sheetData>
  <conditionalFormatting sqref="C5 C8 G11 O8:O9 S5">
    <cfRule type="cellIs" dxfId="15" priority="11" operator="lessThan">
      <formula>$J$3</formula>
    </cfRule>
    <cfRule type="cellIs" dxfId="14" priority="12" operator="greaterThan">
      <formula>$J$3</formula>
    </cfRule>
  </conditionalFormatting>
  <conditionalFormatting sqref="O3">
    <cfRule type="cellIs" dxfId="13" priority="5" operator="greaterThan">
      <formula>$J$3</formula>
    </cfRule>
    <cfRule type="cellIs" dxfId="12" priority="6" operator="less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0.63493854353248735</v>
      </c>
      <c r="M3" t="s">
        <v>4</v>
      </c>
      <c r="N3" s="18">
        <f>(INDEX(N5:N14,MATCH(MAX(O6:O7),O5:O14,0))/0.85)</f>
        <v>18.164705882352941</v>
      </c>
      <c r="O3" s="58">
        <f>(MAX(O6:O7)*0.75)</f>
        <v>0.42676158079663212</v>
      </c>
      <c r="P3" s="28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19.713582687202528</v>
      </c>
      <c r="K4" s="4">
        <f>(J4/D14-1)</f>
        <v>7.4311566887737772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8">
        <f>(D5/B5)</f>
        <v>0.35691793305370928</v>
      </c>
      <c r="D5" s="28">
        <v>18.600000000000001</v>
      </c>
      <c r="N5" t="s">
        <v>30</v>
      </c>
      <c r="O5" t="s">
        <v>1</v>
      </c>
      <c r="P5" t="s">
        <v>2</v>
      </c>
      <c r="R5" s="18">
        <f>(SUM(B$5:B$7))</f>
        <v>54.455291389999999</v>
      </c>
      <c r="S5" s="28">
        <f>(T5/R5)</f>
        <v>0.35074644745189015</v>
      </c>
      <c r="T5" s="28">
        <f>(SUM(D5:D7))</f>
        <v>19.100000000000001</v>
      </c>
    </row>
    <row r="6" spans="2:21">
      <c r="B6" s="19">
        <v>0.88027991999999999</v>
      </c>
      <c r="C6" s="31">
        <v>0</v>
      </c>
      <c r="D6" s="31">
        <f>(B6*C6)</f>
        <v>0</v>
      </c>
      <c r="E6" s="28">
        <f>(B6*J3)</f>
        <v>0.55892365030569446</v>
      </c>
      <c r="M6" t="s">
        <v>10</v>
      </c>
      <c r="N6">
        <f>(-B8)</f>
        <v>10.76</v>
      </c>
      <c r="O6" s="28">
        <f>P6/N6</f>
        <v>0.46958153903345723</v>
      </c>
      <c r="P6" s="28">
        <f>(-D8)</f>
        <v>5.0526973599999998</v>
      </c>
      <c r="Q6" t="s">
        <v>11</v>
      </c>
      <c r="R6">
        <f>(B8)</f>
        <v>-10.76</v>
      </c>
      <c r="S6" s="28">
        <f>(C8)</f>
        <v>0.46958153903345723</v>
      </c>
      <c r="T6" s="28">
        <f>(D8)</f>
        <v>-5.0526973599999998</v>
      </c>
    </row>
    <row r="7" spans="2:21">
      <c r="B7" s="18">
        <v>1.46219147</v>
      </c>
      <c r="C7" s="28">
        <f>(D7/B7)</f>
        <v>0.34195248040942272</v>
      </c>
      <c r="D7" s="28">
        <v>0.5</v>
      </c>
      <c r="N7" s="18">
        <f>-B12</f>
        <v>15.44</v>
      </c>
      <c r="O7" s="28">
        <f>P7/N7</f>
        <v>0.56901544106217616</v>
      </c>
      <c r="P7" s="28">
        <f>-D12</f>
        <v>8.7855984100000004</v>
      </c>
      <c r="Q7" t="s">
        <v>11</v>
      </c>
      <c r="R7" s="18">
        <f>B9+B10+B11</f>
        <v>2.7927256000000007</v>
      </c>
      <c r="S7" s="28">
        <v>0</v>
      </c>
      <c r="T7" s="29">
        <f>D9+D10+D11</f>
        <v>-2.9235217699999998</v>
      </c>
      <c r="U7" s="29"/>
    </row>
    <row r="8" spans="2:21">
      <c r="B8">
        <v>-10.76</v>
      </c>
      <c r="C8" s="28">
        <f>(D8/B8)</f>
        <v>0.46958153903345723</v>
      </c>
      <c r="D8" s="28">
        <v>-5.0526973599999998</v>
      </c>
      <c r="N8" s="18">
        <f>(B$14/3)</f>
        <v>10.349338996666669</v>
      </c>
      <c r="O8" s="28">
        <f>($C$5*[1]Params!K10)</f>
        <v>0.78521945271816052</v>
      </c>
      <c r="P8" s="28">
        <f>(O8*N8)</f>
        <v>8.1265023029573182</v>
      </c>
      <c r="R8" s="18">
        <f>B12</f>
        <v>-15.44</v>
      </c>
      <c r="S8" s="29">
        <f>C12</f>
        <v>0.56901544106217616</v>
      </c>
      <c r="T8" s="29">
        <f>D12</f>
        <v>-8.7855984100000004</v>
      </c>
    </row>
    <row r="9" spans="2:21">
      <c r="B9">
        <v>-21.72</v>
      </c>
      <c r="C9" s="29">
        <f>D9/B9</f>
        <v>0.77456361740331492</v>
      </c>
      <c r="D9" s="28">
        <v>-16.823521769999999</v>
      </c>
      <c r="N9" s="18">
        <f>(B$14/3)</f>
        <v>10.349338996666669</v>
      </c>
      <c r="O9" s="28">
        <f>($C$5*[1]Params!K11)</f>
        <v>1.7845896652685465</v>
      </c>
      <c r="P9" s="28">
        <f>(O9*N9)</f>
        <v>18.469323415812084</v>
      </c>
    </row>
    <row r="10" spans="2:21">
      <c r="B10" s="18">
        <v>12.15260941</v>
      </c>
      <c r="C10" s="28">
        <f>D10/B10</f>
        <v>0.66076344010467125</v>
      </c>
      <c r="D10" s="28">
        <v>8.0299999999999994</v>
      </c>
    </row>
    <row r="11" spans="2:21">
      <c r="B11" s="18">
        <v>12.360116189999999</v>
      </c>
      <c r="C11" s="28">
        <f>D11/B11</f>
        <v>0.47491462942307505</v>
      </c>
      <c r="D11" s="28">
        <v>5.87</v>
      </c>
      <c r="P11" s="28">
        <f>(SUM(P6:P9))</f>
        <v>40.434121488769406</v>
      </c>
    </row>
    <row r="12" spans="2:21">
      <c r="B12" s="18">
        <v>-15.44</v>
      </c>
      <c r="C12" s="29">
        <f>D12/B12</f>
        <v>0.56901544106217616</v>
      </c>
      <c r="D12" s="28">
        <v>-8.7855984100000004</v>
      </c>
    </row>
    <row r="13" spans="2:21">
      <c r="F13" t="s">
        <v>12</v>
      </c>
      <c r="G13" s="28">
        <f>(D14/B14)</f>
        <v>7.5308592518262468E-2</v>
      </c>
    </row>
    <row r="14" spans="2:21">
      <c r="B14" s="18">
        <f>(SUM(B5:B13))</f>
        <v>31.048016990000008</v>
      </c>
      <c r="D14" s="28">
        <f>(SUM(D5:D13))</f>
        <v>2.3381824600000005</v>
      </c>
    </row>
    <row r="18" spans="12:20">
      <c r="R18">
        <f>(SUM(R5:R17))</f>
        <v>31.048016990000008</v>
      </c>
      <c r="T18" s="28">
        <f>(SUM(T5:T17))</f>
        <v>2.3381824600000005</v>
      </c>
    </row>
    <row r="22" spans="12:20">
      <c r="L22" s="29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80" width="9.140625" style="25" customWidth="1"/>
    <col min="381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16.68343924747851</v>
      </c>
      <c r="M3" t="s">
        <v>4</v>
      </c>
      <c r="N3" s="18">
        <f>(INDEX(N5:N14,MATCH(MAX(O6),O5:O14,0))/0.85)</f>
        <v>0.3411764705882353</v>
      </c>
      <c r="O3" s="58">
        <f>(MAX(O6)*0.75)</f>
        <v>12.669672879310347</v>
      </c>
      <c r="P3" s="28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20.981788897045593</v>
      </c>
      <c r="K4" s="4">
        <f>(J4/D14-1)</f>
        <v>0.38942492428624753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8">
        <f>(D5/B5)</f>
        <v>12.964352813608764</v>
      </c>
      <c r="D5" s="28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8">
        <f>(T5/R5)</f>
        <v>12.998835611385129</v>
      </c>
      <c r="T5" s="28">
        <f>D5+B7*12.8154</f>
        <v>16.283534</v>
      </c>
    </row>
    <row r="6" spans="2:21">
      <c r="B6" s="2">
        <v>4.9499599999999998E-3</v>
      </c>
      <c r="C6" s="31">
        <v>0</v>
      </c>
      <c r="D6" s="31">
        <f>(B6*C6)</f>
        <v>0</v>
      </c>
      <c r="E6" s="28">
        <f>(B6*J3)</f>
        <v>8.2582356937448725E-2</v>
      </c>
      <c r="M6" t="s">
        <v>10</v>
      </c>
      <c r="N6" s="1">
        <f>-B7</f>
        <v>0.28999999999999998</v>
      </c>
      <c r="O6" s="28">
        <f>P6/N6</f>
        <v>16.892897172413797</v>
      </c>
      <c r="P6" s="28">
        <f>-D7</f>
        <v>4.8989401800000003</v>
      </c>
      <c r="Q6" t="s">
        <v>11</v>
      </c>
      <c r="R6" s="2">
        <f>(B6)</f>
        <v>4.9499599999999998E-3</v>
      </c>
      <c r="S6" s="31">
        <f>(C6)</f>
        <v>0</v>
      </c>
      <c r="T6" s="31">
        <f>(D6)</f>
        <v>0</v>
      </c>
    </row>
    <row r="7" spans="2:21">
      <c r="B7" s="1">
        <v>-0.28999999999999998</v>
      </c>
      <c r="C7" s="28">
        <f>D7/B7</f>
        <v>16.892897172413797</v>
      </c>
      <c r="D7" s="28">
        <v>-4.8989401800000003</v>
      </c>
      <c r="N7" s="1">
        <f>2*(B$14+$N$6)/5-$N$6</f>
        <v>0.32905668000000005</v>
      </c>
      <c r="O7" s="28">
        <f>($S$5*[1]Params!K9)</f>
        <v>20.798136978216206</v>
      </c>
      <c r="P7" s="28">
        <f>(O7*N7)</f>
        <v>6.843765904237058</v>
      </c>
      <c r="R7" s="1">
        <f>B7-B7</f>
        <v>0</v>
      </c>
      <c r="S7" s="28">
        <v>0</v>
      </c>
      <c r="T7" s="29">
        <f>D7+N6*12.8154</f>
        <v>-1.1824741800000003</v>
      </c>
      <c r="U7" s="29"/>
    </row>
    <row r="8" spans="2:21">
      <c r="C8" s="28"/>
      <c r="D8" s="28"/>
      <c r="N8" s="1">
        <f>(B$14-$B$7)/5</f>
        <v>0.30952834000000001</v>
      </c>
      <c r="O8" s="28">
        <f>($S$5*[1]Params!K10)</f>
        <v>28.597438345047287</v>
      </c>
      <c r="P8" s="28">
        <f>(O8*N8)</f>
        <v>8.8517176191948348</v>
      </c>
      <c r="R8" s="18"/>
      <c r="S8" s="29"/>
      <c r="T8" s="29"/>
    </row>
    <row r="9" spans="2:21">
      <c r="C9" s="29"/>
      <c r="D9" s="28"/>
      <c r="N9" s="1">
        <f>(B$14-$B$7)/5</f>
        <v>0.30952834000000001</v>
      </c>
      <c r="O9" s="28">
        <f>($S$5*[1]Params!K11)</f>
        <v>64.994178056925648</v>
      </c>
      <c r="P9" s="28">
        <f>(O9*N9)</f>
        <v>20.117540043624622</v>
      </c>
    </row>
    <row r="10" spans="2:21">
      <c r="B10" s="18"/>
      <c r="C10" s="28"/>
      <c r="D10" s="28"/>
    </row>
    <row r="11" spans="2:21">
      <c r="B11" s="18"/>
      <c r="C11" s="28"/>
      <c r="D11" s="28"/>
      <c r="P11" s="28">
        <f>(SUM(P6:P9))</f>
        <v>40.711963747056515</v>
      </c>
    </row>
    <row r="12" spans="2:21">
      <c r="B12" s="18"/>
      <c r="C12" s="29"/>
      <c r="D12" s="28"/>
    </row>
    <row r="13" spans="2:21">
      <c r="F13" t="s">
        <v>12</v>
      </c>
      <c r="G13" s="28">
        <f>(D14/B14)</f>
        <v>12.007442040129554</v>
      </c>
    </row>
    <row r="14" spans="2:21">
      <c r="B14" s="18">
        <f>(SUM(B5:B13))</f>
        <v>1.2576417</v>
      </c>
      <c r="D14" s="28">
        <f>(SUM(D5:D13))</f>
        <v>15.10105982</v>
      </c>
    </row>
    <row r="18" spans="12:20">
      <c r="R18">
        <f>(SUM(R5:R17))</f>
        <v>1.2576417</v>
      </c>
      <c r="T18" s="28">
        <f>(SUM(T5:T17))</f>
        <v>15.10105982</v>
      </c>
    </row>
    <row r="22" spans="12:20">
      <c r="L22" s="29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S30" sqref="S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80" width="9.140625" style="25" customWidth="1"/>
    <col min="381" max="16384" width="9.140625" style="25"/>
  </cols>
  <sheetData>
    <row r="3" spans="2:21">
      <c r="I3" t="s">
        <v>3</v>
      </c>
      <c r="J3" s="49">
        <v>3.7381027533661442</v>
      </c>
      <c r="N3" s="18"/>
      <c r="O3" s="58"/>
      <c r="P3" s="28"/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(B14*J3)</f>
        <v>24.939477561492271</v>
      </c>
      <c r="K4" s="4">
        <f>(J4/D14-1)</f>
        <v>0.24697387807461357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8">
        <f>(D5/B5)</f>
        <v>2.9982065657767558</v>
      </c>
      <c r="D5" s="28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8">
        <f>(T5/R5)</f>
        <v>2.9982065657767558</v>
      </c>
      <c r="T5" s="28">
        <f>D5</f>
        <v>20</v>
      </c>
    </row>
    <row r="6" spans="2:21">
      <c r="B6" s="2">
        <v>1.0395000000000001E-3</v>
      </c>
      <c r="C6" s="31">
        <v>0</v>
      </c>
      <c r="D6" s="31">
        <f>(B6*C6)</f>
        <v>0</v>
      </c>
      <c r="E6" s="28">
        <f>(B6*J3)</f>
        <v>3.8857578121241072E-3</v>
      </c>
      <c r="M6" t="s">
        <v>10</v>
      </c>
      <c r="N6" s="18">
        <f>(B$14/5)</f>
        <v>1.3343387920000001</v>
      </c>
      <c r="O6" s="28">
        <f>($C$5*[1]Params!K8)</f>
        <v>3.8976685355097827</v>
      </c>
      <c r="P6" s="28">
        <f>(O6*N6)</f>
        <v>5.2008103252885327</v>
      </c>
      <c r="R6" s="18">
        <f>(B6)</f>
        <v>1.0395000000000001E-3</v>
      </c>
      <c r="S6" s="28">
        <f>(C6)</f>
        <v>0</v>
      </c>
      <c r="T6" s="28">
        <f>(D6)</f>
        <v>0</v>
      </c>
    </row>
    <row r="7" spans="2:21">
      <c r="B7" s="18"/>
      <c r="C7" s="28"/>
      <c r="D7" s="28"/>
      <c r="N7" s="18">
        <f>(B$14/5)</f>
        <v>1.3343387920000001</v>
      </c>
      <c r="O7" s="28">
        <f>($C$5*[1]Params!K9)</f>
        <v>4.7971305052428095</v>
      </c>
      <c r="P7" s="28">
        <f>(O7*N7)</f>
        <v>6.4009973234320405</v>
      </c>
      <c r="R7" s="18"/>
      <c r="S7" s="28"/>
      <c r="T7" s="29"/>
      <c r="U7" s="29"/>
    </row>
    <row r="8" spans="2:21">
      <c r="C8" s="28"/>
      <c r="D8" s="28"/>
      <c r="N8" s="18">
        <f>(B$14/5)</f>
        <v>1.3343387920000001</v>
      </c>
      <c r="O8" s="28">
        <f>($C$5*[1]Params!K10)</f>
        <v>6.5960544447088632</v>
      </c>
      <c r="P8" s="28">
        <f>(O8*N8)</f>
        <v>8.8013713197190562</v>
      </c>
      <c r="R8" s="18"/>
      <c r="S8" s="29"/>
      <c r="T8" s="29"/>
    </row>
    <row r="9" spans="2:21">
      <c r="C9" s="29"/>
      <c r="D9" s="28"/>
      <c r="N9" s="18">
        <f>(B$14/5)</f>
        <v>1.3343387920000001</v>
      </c>
      <c r="O9" s="28">
        <f>($C$5*[1]Params!K11)</f>
        <v>14.991032828883778</v>
      </c>
      <c r="P9" s="28">
        <f>(O9*N9)</f>
        <v>20.003116635725124</v>
      </c>
    </row>
    <row r="10" spans="2:21">
      <c r="B10" s="18"/>
      <c r="C10" s="28"/>
      <c r="D10" s="28"/>
    </row>
    <row r="11" spans="2:21">
      <c r="B11" s="18"/>
      <c r="C11" s="28"/>
      <c r="D11" s="28"/>
      <c r="P11" s="28">
        <f>(SUM(P6:P9))</f>
        <v>40.406295604164754</v>
      </c>
    </row>
    <row r="12" spans="2:21">
      <c r="B12" s="18"/>
      <c r="C12" s="29"/>
      <c r="D12" s="28"/>
    </row>
    <row r="13" spans="2:21">
      <c r="F13" t="s">
        <v>12</v>
      </c>
      <c r="G13" s="28">
        <f>(D14/B14)</f>
        <v>2.9977394226877876</v>
      </c>
    </row>
    <row r="14" spans="2:21">
      <c r="B14" s="18">
        <f>(SUM(B5:B13))</f>
        <v>6.6716939599999998</v>
      </c>
      <c r="D14" s="28">
        <f>(SUM(D5:D13))</f>
        <v>20</v>
      </c>
    </row>
    <row r="18" spans="12:20">
      <c r="R18">
        <f>(SUM(R5:R17))</f>
        <v>6.6716939599999998</v>
      </c>
      <c r="T18" s="28">
        <f>(SUM(T5:T17))</f>
        <v>20</v>
      </c>
    </row>
    <row r="22" spans="12:20">
      <c r="L22" s="29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A34" sqref="A34:XFD34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8">
        <v>0.52787255942234801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8">
        <f>(B9*J3)</f>
        <v>3.2114710770136807</v>
      </c>
      <c r="K4" s="4">
        <f>(J4/D9-1)</f>
        <v>-0.88875143767021436</v>
      </c>
    </row>
    <row r="5" spans="2:16">
      <c r="B5" s="18">
        <v>1.5469999999999999</v>
      </c>
      <c r="C5" s="28">
        <v>10</v>
      </c>
      <c r="D5" s="28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8">
        <v>3.9409999999999998</v>
      </c>
      <c r="D6" s="28">
        <f>(B6*C6)</f>
        <v>9.9975287999999995</v>
      </c>
      <c r="M6" t="s">
        <v>4</v>
      </c>
      <c r="N6">
        <f>(INDEX(B5:B8,MATCH(O6/2,C5:C8,0)))</f>
        <v>2</v>
      </c>
      <c r="O6" s="28">
        <f>(MIN(C5:C8)*2)</f>
        <v>3.4</v>
      </c>
      <c r="P6" s="28">
        <f>(O6*N6/2)</f>
        <v>3.4</v>
      </c>
    </row>
    <row r="7" spans="2:16">
      <c r="B7" s="18">
        <v>2</v>
      </c>
      <c r="C7" s="28">
        <v>1.7</v>
      </c>
      <c r="D7" s="28">
        <f>(B7*C7)</f>
        <v>3.4</v>
      </c>
    </row>
    <row r="8" spans="2:16">
      <c r="F8" t="s">
        <v>12</v>
      </c>
      <c r="G8" s="28">
        <f>(SUM(D5:D8)/SUM(B5:B8))</f>
        <v>4.744983201288667</v>
      </c>
    </row>
    <row r="9" spans="2:16">
      <c r="B9" s="18">
        <f>(SUM(B5:B8))</f>
        <v>6.0838000000000001</v>
      </c>
      <c r="D9" s="28">
        <f>(SUM(D5:D8))</f>
        <v>28.867528799999995</v>
      </c>
    </row>
    <row r="10" spans="2:16">
      <c r="D10" s="28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8">
        <f>($C$5*[1]Params!K8)</f>
        <v>13</v>
      </c>
      <c r="P11" s="28">
        <f>(O11*N11)</f>
        <v>4.0221999999999998</v>
      </c>
    </row>
    <row r="12" spans="2:16">
      <c r="N12">
        <f>($B$5/5)</f>
        <v>0.30940000000000001</v>
      </c>
      <c r="O12" s="28">
        <f>($C$5*[1]Params!K9)</f>
        <v>16</v>
      </c>
      <c r="P12" s="28">
        <f>(O12*N12)</f>
        <v>4.9504000000000001</v>
      </c>
    </row>
    <row r="13" spans="2:16">
      <c r="N13">
        <f>($B$5/5)</f>
        <v>0.30940000000000001</v>
      </c>
      <c r="O13" s="28">
        <f>($C$5*[1]Params!K10)</f>
        <v>22</v>
      </c>
      <c r="P13" s="28">
        <f>(O13*N13)</f>
        <v>6.8068</v>
      </c>
    </row>
    <row r="14" spans="2:16">
      <c r="N14">
        <f>($B$5/5)</f>
        <v>0.30940000000000001</v>
      </c>
      <c r="O14" s="28">
        <f>($C$5*[1]Params!K11)</f>
        <v>50</v>
      </c>
      <c r="P14" s="28">
        <f>(O14*N14)</f>
        <v>15.47</v>
      </c>
    </row>
    <row r="17" spans="13:16">
      <c r="P17" s="28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8">
        <f>($C$6*[1]Params!K8)</f>
        <v>5.1232999999999995</v>
      </c>
      <c r="P20" s="28">
        <f>(O20*N20)</f>
        <v>2.5993574879999999</v>
      </c>
    </row>
    <row r="21" spans="13:16">
      <c r="N21">
        <f>($B$6/5)</f>
        <v>0.50736000000000003</v>
      </c>
      <c r="O21" s="28">
        <f>($C$6*[1]Params!K9)</f>
        <v>6.3056000000000001</v>
      </c>
      <c r="P21" s="28">
        <f>(O21*N21)</f>
        <v>3.1992092160000003</v>
      </c>
    </row>
    <row r="22" spans="13:16">
      <c r="N22">
        <f>($B$6/5)</f>
        <v>0.50736000000000003</v>
      </c>
      <c r="O22" s="28">
        <f>($C$6*[1]Params!K10)</f>
        <v>8.6701999999999995</v>
      </c>
      <c r="P22" s="28">
        <f>(O22*N22)</f>
        <v>4.3989126719999998</v>
      </c>
    </row>
    <row r="23" spans="13:16">
      <c r="N23">
        <f>($B$6/5)</f>
        <v>0.50736000000000003</v>
      </c>
      <c r="O23" s="28">
        <f>($C$6*[1]Params!K11)</f>
        <v>19.704999999999998</v>
      </c>
      <c r="P23" s="28">
        <f>(O23*N23)</f>
        <v>9.9975287999999995</v>
      </c>
    </row>
    <row r="26" spans="13:16">
      <c r="P26" s="28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8">
        <f>($C$7*[1]Params!K8)</f>
        <v>2.21</v>
      </c>
      <c r="P29" s="28">
        <f>(O29*N29)</f>
        <v>0.88400000000000001</v>
      </c>
    </row>
    <row r="30" spans="13:16">
      <c r="N30">
        <f>($B$7/5)</f>
        <v>0.4</v>
      </c>
      <c r="O30" s="28">
        <f>($C$7*[1]Params!K9)</f>
        <v>2.72</v>
      </c>
      <c r="P30" s="28">
        <f>(O30*N30)</f>
        <v>1.0880000000000001</v>
      </c>
    </row>
    <row r="31" spans="13:16">
      <c r="N31">
        <f>($B$7/5)</f>
        <v>0.4</v>
      </c>
      <c r="O31" s="28">
        <f>($C$7*[1]Params!K10)</f>
        <v>3.74</v>
      </c>
      <c r="P31" s="28">
        <f>(O31*N31)</f>
        <v>1.4960000000000002</v>
      </c>
    </row>
    <row r="32" spans="13:16">
      <c r="N32">
        <f>($B$7/5)</f>
        <v>0.4</v>
      </c>
      <c r="O32" s="28">
        <f>($C$7*[1]Params!K11)</f>
        <v>8.5</v>
      </c>
      <c r="P32" s="28">
        <f>(O32*N32)</f>
        <v>3.4000000000000004</v>
      </c>
    </row>
    <row r="35" spans="16:16">
      <c r="P35" s="28">
        <f>(SUM(P29:P32))</f>
        <v>6.8680000000000003</v>
      </c>
    </row>
  </sheetData>
  <conditionalFormatting sqref="C5:C7 O6 O11:O14 O20:O23 O29:O32">
    <cfRule type="cellIs" dxfId="285" priority="9" operator="lessThan">
      <formula>$J$3</formula>
    </cfRule>
    <cfRule type="cellIs" dxfId="284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7">
        <v>7.910560713538144E-3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31">
        <v>135</v>
      </c>
      <c r="D5" s="28">
        <v>3.5</v>
      </c>
      <c r="E5" s="29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31">
        <v>18</v>
      </c>
      <c r="D6" s="28">
        <v>3.5</v>
      </c>
      <c r="E6" s="29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8">
        <v>18</v>
      </c>
      <c r="D7" s="28">
        <v>3.5</v>
      </c>
      <c r="E7" s="29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8">
        <v>55</v>
      </c>
      <c r="D8" s="28">
        <v>3.5</v>
      </c>
      <c r="E8" s="29">
        <f t="shared" si="0"/>
        <v>58.5</v>
      </c>
      <c r="F8" s="9" t="s">
        <v>41</v>
      </c>
    </row>
    <row r="9" spans="2:14">
      <c r="B9" s="8" t="s">
        <v>47</v>
      </c>
      <c r="C9" s="28">
        <v>-134.99</v>
      </c>
      <c r="D9" s="28">
        <v>0.01</v>
      </c>
      <c r="E9" s="29">
        <f t="shared" si="0"/>
        <v>-134.98000000000002</v>
      </c>
      <c r="F9" s="9" t="s">
        <v>48</v>
      </c>
    </row>
    <row r="10" spans="2:14">
      <c r="B10" s="8" t="s">
        <v>47</v>
      </c>
      <c r="C10" s="28">
        <v>125</v>
      </c>
      <c r="D10" s="28">
        <f>0.002*151</f>
        <v>0.30199999999999999</v>
      </c>
      <c r="E10" s="29">
        <f t="shared" si="0"/>
        <v>125.30200000000001</v>
      </c>
      <c r="F10" s="9" t="s">
        <v>41</v>
      </c>
    </row>
    <row r="11" spans="2:14">
      <c r="B11" s="8" t="s">
        <v>47</v>
      </c>
      <c r="C11" s="28">
        <v>-144.96</v>
      </c>
      <c r="D11" s="28">
        <v>0.01</v>
      </c>
      <c r="E11" s="29">
        <f t="shared" si="0"/>
        <v>-144.95000000000002</v>
      </c>
      <c r="F11" s="9" t="s">
        <v>48</v>
      </c>
    </row>
    <row r="12" spans="2:14">
      <c r="B12" s="8" t="s">
        <v>47</v>
      </c>
      <c r="C12" s="28">
        <v>130</v>
      </c>
      <c r="D12" s="28">
        <f>0.002*151</f>
        <v>0.30199999999999999</v>
      </c>
      <c r="E12" s="29">
        <f t="shared" si="0"/>
        <v>130.30199999999999</v>
      </c>
      <c r="F12" s="9" t="s">
        <v>41</v>
      </c>
      <c r="I12" t="s">
        <v>49</v>
      </c>
      <c r="J12" s="28">
        <f>(SUM(D5:E8))</f>
        <v>254</v>
      </c>
    </row>
    <row r="13" spans="2:14">
      <c r="B13" s="8" t="s">
        <v>47</v>
      </c>
      <c r="C13" s="28">
        <v>-144.94999999999999</v>
      </c>
      <c r="D13" s="28">
        <v>0.01</v>
      </c>
      <c r="E13" s="29">
        <f t="shared" si="0"/>
        <v>-144.94</v>
      </c>
      <c r="F13" s="9" t="s">
        <v>48</v>
      </c>
      <c r="I13" t="s">
        <v>50</v>
      </c>
      <c r="J13" s="28">
        <f>(SUM(K35:K43)-C77*J3+D77)</f>
        <v>8.835105139542204</v>
      </c>
    </row>
    <row r="14" spans="2:14">
      <c r="B14" s="8" t="s">
        <v>47</v>
      </c>
      <c r="C14" s="28">
        <v>130</v>
      </c>
      <c r="D14" s="28">
        <f>0.01</f>
        <v>0.01</v>
      </c>
      <c r="E14" s="29">
        <f t="shared" si="0"/>
        <v>130.01</v>
      </c>
      <c r="F14" s="9" t="s">
        <v>41</v>
      </c>
      <c r="I14" t="s">
        <v>51</v>
      </c>
      <c r="J14" s="28">
        <f>(-SUM(E9:E31))</f>
        <v>-7.0166399999999376</v>
      </c>
      <c r="K14" s="29">
        <f>(J14-M38-M39-M40-M42-L43)</f>
        <v>-67.516639999999938</v>
      </c>
    </row>
    <row r="15" spans="2:14">
      <c r="B15" s="8" t="s">
        <v>47</v>
      </c>
      <c r="C15" s="28">
        <v>-144.97999999999999</v>
      </c>
      <c r="D15" s="28">
        <v>0.01</v>
      </c>
      <c r="E15" s="29">
        <f t="shared" si="0"/>
        <v>-144.97</v>
      </c>
      <c r="F15" s="9" t="s">
        <v>48</v>
      </c>
      <c r="I15" t="s">
        <v>35</v>
      </c>
      <c r="J15" s="28">
        <f>(J13-J12+J14)</f>
        <v>-252.18153486045773</v>
      </c>
    </row>
    <row r="16" spans="2:14">
      <c r="B16" s="8" t="s">
        <v>47</v>
      </c>
      <c r="C16" s="28">
        <v>130</v>
      </c>
      <c r="D16" s="28">
        <f>0.01</f>
        <v>0.01</v>
      </c>
      <c r="E16" s="29">
        <f t="shared" si="0"/>
        <v>130.01</v>
      </c>
      <c r="F16" s="9" t="s">
        <v>41</v>
      </c>
      <c r="I16" t="s">
        <v>52</v>
      </c>
      <c r="J16" s="28">
        <f>(J15+M47)</f>
        <v>-110.43153486045773</v>
      </c>
    </row>
    <row r="17" spans="2:18">
      <c r="B17" s="8" t="s">
        <v>45</v>
      </c>
      <c r="C17" s="28">
        <v>19.73</v>
      </c>
      <c r="D17" s="28">
        <v>0.28000000000000003</v>
      </c>
      <c r="E17" s="29">
        <f t="shared" si="0"/>
        <v>20.010000000000002</v>
      </c>
      <c r="F17" s="9" t="s">
        <v>41</v>
      </c>
    </row>
    <row r="18" spans="2:18">
      <c r="B18" s="8" t="s">
        <v>45</v>
      </c>
      <c r="C18" s="28">
        <v>38</v>
      </c>
      <c r="D18" s="28">
        <v>0.01</v>
      </c>
      <c r="E18" s="29">
        <f t="shared" si="0"/>
        <v>38.01</v>
      </c>
      <c r="F18" s="9" t="s">
        <v>53</v>
      </c>
      <c r="R18" s="29"/>
    </row>
    <row r="19" spans="2:18">
      <c r="B19" s="8" t="s">
        <v>45</v>
      </c>
      <c r="C19" s="28">
        <v>11.25</v>
      </c>
      <c r="D19" s="28">
        <v>0.01</v>
      </c>
      <c r="E19" s="29">
        <f t="shared" si="0"/>
        <v>11.26</v>
      </c>
      <c r="F19" s="9" t="s">
        <v>41</v>
      </c>
    </row>
    <row r="20" spans="2:18">
      <c r="B20" s="8" t="s">
        <v>45</v>
      </c>
      <c r="C20" s="31">
        <v>8.02</v>
      </c>
      <c r="D20" s="28">
        <v>0.01</v>
      </c>
      <c r="E20" s="29">
        <f t="shared" si="0"/>
        <v>8.0299999999999994</v>
      </c>
      <c r="F20" s="9" t="s">
        <v>41</v>
      </c>
    </row>
    <row r="21" spans="2:18">
      <c r="B21" s="8" t="s">
        <v>43</v>
      </c>
      <c r="C21" s="28">
        <v>6.01</v>
      </c>
      <c r="D21" s="28">
        <v>0</v>
      </c>
      <c r="E21" s="29">
        <f t="shared" si="0"/>
        <v>6.01</v>
      </c>
      <c r="F21" s="9" t="s">
        <v>41</v>
      </c>
    </row>
    <row r="22" spans="2:18">
      <c r="B22" s="8" t="s">
        <v>47</v>
      </c>
      <c r="C22" s="28">
        <v>-30.99</v>
      </c>
      <c r="D22" s="28">
        <v>0</v>
      </c>
      <c r="E22" s="29">
        <f t="shared" si="0"/>
        <v>-30.99</v>
      </c>
      <c r="F22" s="9" t="s">
        <v>48</v>
      </c>
    </row>
    <row r="23" spans="2:18">
      <c r="B23" s="8" t="s">
        <v>47</v>
      </c>
      <c r="C23" s="28">
        <v>27.01</v>
      </c>
      <c r="D23" s="28">
        <v>0</v>
      </c>
      <c r="E23" s="29">
        <f t="shared" si="0"/>
        <v>27.01</v>
      </c>
      <c r="F23" s="9" t="s">
        <v>41</v>
      </c>
    </row>
    <row r="24" spans="2:18">
      <c r="B24" s="8" t="s">
        <v>47</v>
      </c>
      <c r="C24" s="28">
        <v>-47.22</v>
      </c>
      <c r="D24" s="28">
        <v>0</v>
      </c>
      <c r="E24" s="29">
        <f t="shared" si="0"/>
        <v>-47.22</v>
      </c>
      <c r="F24" s="9" t="s">
        <v>48</v>
      </c>
    </row>
    <row r="25" spans="2:18">
      <c r="B25" s="8" t="s">
        <v>47</v>
      </c>
      <c r="C25" s="28">
        <v>35.020000000000003</v>
      </c>
      <c r="D25" s="28">
        <v>0</v>
      </c>
      <c r="E25" s="29">
        <f t="shared" si="0"/>
        <v>35.020000000000003</v>
      </c>
      <c r="F25" s="9" t="s">
        <v>41</v>
      </c>
    </row>
    <row r="26" spans="2:18">
      <c r="B26" s="8" t="s">
        <v>47</v>
      </c>
      <c r="C26" s="28">
        <v>-59.99</v>
      </c>
      <c r="D26" s="28">
        <v>0</v>
      </c>
      <c r="E26" s="29">
        <f t="shared" si="0"/>
        <v>-59.99</v>
      </c>
      <c r="F26" s="9" t="s">
        <v>48</v>
      </c>
    </row>
    <row r="27" spans="2:18">
      <c r="B27" s="8" t="s">
        <v>47</v>
      </c>
      <c r="C27" s="31">
        <v>30.05</v>
      </c>
      <c r="D27" s="28">
        <v>0</v>
      </c>
      <c r="E27" s="29">
        <f t="shared" si="0"/>
        <v>30.05</v>
      </c>
      <c r="F27" s="9" t="s">
        <v>41</v>
      </c>
    </row>
    <row r="28" spans="2:18">
      <c r="B28" s="8" t="s">
        <v>47</v>
      </c>
      <c r="C28" s="31">
        <v>36.01</v>
      </c>
      <c r="D28" s="28">
        <v>0</v>
      </c>
      <c r="E28" s="29">
        <f t="shared" si="0"/>
        <v>36.01</v>
      </c>
      <c r="F28" s="9" t="s">
        <v>41</v>
      </c>
    </row>
    <row r="29" spans="2:18">
      <c r="B29" s="8" t="s">
        <v>43</v>
      </c>
      <c r="C29" s="28">
        <v>-8.0500000000000007</v>
      </c>
      <c r="D29" s="28">
        <v>0</v>
      </c>
      <c r="E29" s="29">
        <f t="shared" si="0"/>
        <v>-8.0500000000000007</v>
      </c>
      <c r="F29" s="9" t="s">
        <v>48</v>
      </c>
    </row>
    <row r="30" spans="2:18">
      <c r="B30" s="8" t="s">
        <v>45</v>
      </c>
      <c r="C30" s="28">
        <v>4</v>
      </c>
      <c r="D30" s="28">
        <v>0.01</v>
      </c>
      <c r="E30" s="28">
        <f>(C30+D30)</f>
        <v>4.01</v>
      </c>
      <c r="F30" s="9" t="s">
        <v>41</v>
      </c>
    </row>
    <row r="31" spans="2:18">
      <c r="B31" s="10" t="s">
        <v>45</v>
      </c>
      <c r="C31" s="38">
        <v>-8.4440000000000008</v>
      </c>
      <c r="D31" s="38">
        <f>-C31*6%</f>
        <v>0.50663999999999998</v>
      </c>
      <c r="E31" s="38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9">
        <f t="shared" ref="F35:F41" si="2">E35*$N$5</f>
        <v>3595.9937139999997</v>
      </c>
      <c r="G35" s="28">
        <v>3.5</v>
      </c>
      <c r="H35" s="40">
        <f>G51</f>
        <v>1.5615590400000001</v>
      </c>
      <c r="I35" s="29">
        <f t="shared" ref="I35:I42" si="3">((F35-H35*D35)*$J$3-G35)</f>
        <v>15.743484942796233</v>
      </c>
      <c r="J35">
        <v>1</v>
      </c>
      <c r="K35" s="41">
        <f t="shared" ref="K35:K41" si="4">I35*J35</f>
        <v>15.743484942796233</v>
      </c>
      <c r="L35" s="42">
        <v>40</v>
      </c>
      <c r="M35" s="42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9">
        <f t="shared" si="2"/>
        <v>555.44130600000005</v>
      </c>
      <c r="G36" s="28">
        <v>3.5</v>
      </c>
      <c r="H36" s="40">
        <f>G52</f>
        <v>0.21337130135885166</v>
      </c>
      <c r="I36" s="29">
        <f t="shared" si="3"/>
        <v>-0.36362336835483156</v>
      </c>
      <c r="J36">
        <v>1</v>
      </c>
      <c r="K36" s="41">
        <f t="shared" si="4"/>
        <v>-0.36362336835483156</v>
      </c>
      <c r="L36" s="42">
        <v>16.5</v>
      </c>
      <c r="M36" s="42">
        <f t="shared" si="5"/>
        <v>16.5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9">
        <f t="shared" si="2"/>
        <v>489.31734100000006</v>
      </c>
      <c r="G37" s="28">
        <v>3.5</v>
      </c>
      <c r="H37" s="40">
        <f>G53</f>
        <v>0.18479602162162162</v>
      </c>
      <c r="I37" s="29">
        <f t="shared" si="3"/>
        <v>-0.71829637658277079</v>
      </c>
      <c r="J37">
        <v>1</v>
      </c>
      <c r="K37" s="41">
        <f t="shared" si="4"/>
        <v>-0.71829637658277079</v>
      </c>
      <c r="L37" s="42">
        <v>9.5</v>
      </c>
      <c r="M37" s="42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9">
        <f t="shared" si="2"/>
        <v>466.98607980000003</v>
      </c>
      <c r="G38" s="28">
        <v>0</v>
      </c>
      <c r="H38" s="40">
        <f>G53</f>
        <v>0.18479602162162162</v>
      </c>
      <c r="I38" s="29">
        <f t="shared" si="3"/>
        <v>2.6547533909391272</v>
      </c>
      <c r="J38">
        <v>3</v>
      </c>
      <c r="K38" s="41">
        <f t="shared" si="4"/>
        <v>7.9642601728173812</v>
      </c>
      <c r="L38" s="42">
        <f>L37</f>
        <v>9.5</v>
      </c>
      <c r="M38" s="42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9">
        <f t="shared" si="2"/>
        <v>428.89157540000002</v>
      </c>
      <c r="G39" s="28">
        <v>0</v>
      </c>
      <c r="H39" s="40">
        <f>H38</f>
        <v>0.18479602162162162</v>
      </c>
      <c r="I39" s="29">
        <f t="shared" si="3"/>
        <v>2.4381912296529538</v>
      </c>
      <c r="J39">
        <v>1</v>
      </c>
      <c r="K39" s="41">
        <f t="shared" si="4"/>
        <v>2.4381912296529538</v>
      </c>
      <c r="L39" s="42">
        <f>L38</f>
        <v>9.5</v>
      </c>
      <c r="M39" s="42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9">
        <f t="shared" si="2"/>
        <v>397.36508900000001</v>
      </c>
      <c r="G40" s="28">
        <v>0</v>
      </c>
      <c r="H40" s="40">
        <f>H39</f>
        <v>0.18479602162162162</v>
      </c>
      <c r="I40" s="29">
        <f t="shared" si="3"/>
        <v>2.2589673720368104</v>
      </c>
      <c r="J40">
        <v>1</v>
      </c>
      <c r="K40" s="41">
        <f t="shared" si="4"/>
        <v>2.2589673720368104</v>
      </c>
      <c r="L40" s="42">
        <f>L39</f>
        <v>9.5</v>
      </c>
      <c r="M40" s="42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3">
        <v>0</v>
      </c>
      <c r="H41" s="44">
        <f>H36</f>
        <v>0.21337130135885166</v>
      </c>
      <c r="I41" s="43">
        <f t="shared" si="3"/>
        <v>0.29469310632907619</v>
      </c>
      <c r="J41" s="15">
        <v>1</v>
      </c>
      <c r="K41" s="45">
        <f t="shared" si="4"/>
        <v>0.29469310632907619</v>
      </c>
      <c r="L41" s="46">
        <v>0</v>
      </c>
      <c r="M41" s="46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3">
        <v>0</v>
      </c>
      <c r="H42" s="44">
        <f>(H38)</f>
        <v>0.18479602162162162</v>
      </c>
      <c r="I42" s="43">
        <f t="shared" si="3"/>
        <v>1.6428853614813166</v>
      </c>
      <c r="J42" s="15">
        <v>1</v>
      </c>
      <c r="K42" s="45">
        <f>(I42*J42)</f>
        <v>1.6428853614813166</v>
      </c>
      <c r="L42" s="46">
        <v>0</v>
      </c>
      <c r="M42" s="46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41"/>
      <c r="L43" s="42">
        <v>13</v>
      </c>
      <c r="M43" s="42">
        <f>L43*J43</f>
        <v>26</v>
      </c>
    </row>
    <row r="44" spans="2:22">
      <c r="B44" s="8" t="s">
        <v>66</v>
      </c>
      <c r="J44">
        <v>1</v>
      </c>
      <c r="K44" s="9"/>
      <c r="L44" s="42">
        <v>0.4</v>
      </c>
      <c r="M44" s="42">
        <f>(L44*J44)</f>
        <v>0.4</v>
      </c>
    </row>
    <row r="45" spans="2:22">
      <c r="B45" s="8" t="s">
        <v>67</v>
      </c>
      <c r="J45">
        <v>1</v>
      </c>
      <c r="K45" s="9"/>
      <c r="L45" s="42">
        <v>0.35</v>
      </c>
      <c r="M45" s="42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2">
        <v>1.5</v>
      </c>
      <c r="M46" s="42">
        <f>(L46*J46)</f>
        <v>1.5</v>
      </c>
      <c r="V46" s="29"/>
    </row>
    <row r="47" spans="2:22">
      <c r="L47" t="s">
        <v>35</v>
      </c>
      <c r="M47" s="42">
        <f>(SUM(M34:M46))</f>
        <v>141.75</v>
      </c>
      <c r="O47" s="42">
        <f>(J13+SUM(G35:G41)-D77)</f>
        <v>0.85535313954220626</v>
      </c>
      <c r="P47">
        <f>(O47/J3)</f>
        <v>108.12800388199459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7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7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7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8">
        <v>1.1399999999999999</v>
      </c>
      <c r="E60" s="35">
        <f t="shared" ref="E60:E67" si="6">D60/C60</f>
        <v>1.0039857823396298E-2</v>
      </c>
    </row>
    <row r="61" spans="2:7">
      <c r="B61" s="8"/>
      <c r="C61" s="18">
        <v>130.53974622000001</v>
      </c>
      <c r="D61" s="48">
        <v>1.1793119999999999</v>
      </c>
      <c r="E61" s="35">
        <f t="shared" si="6"/>
        <v>9.0341220520874389E-3</v>
      </c>
    </row>
    <row r="62" spans="2:7">
      <c r="B62" s="8"/>
      <c r="C62" s="18">
        <v>167.40487411999999</v>
      </c>
      <c r="D62" s="48">
        <v>1.05481</v>
      </c>
      <c r="E62" s="35">
        <f t="shared" si="6"/>
        <v>6.3009515436443378E-3</v>
      </c>
    </row>
    <row r="63" spans="2:7">
      <c r="B63" s="8"/>
      <c r="C63" s="18">
        <v>167.96827999999999</v>
      </c>
      <c r="D63" s="48">
        <f>1.0512-0.00017</f>
        <v>1.0510299999999999</v>
      </c>
      <c r="E63" s="35">
        <f t="shared" si="6"/>
        <v>6.2573123925541178E-3</v>
      </c>
    </row>
    <row r="64" spans="2:7">
      <c r="B64" s="8"/>
      <c r="C64" s="18">
        <v>123.66</v>
      </c>
      <c r="D64" s="48">
        <v>1.0489999999999999</v>
      </c>
      <c r="E64" s="35">
        <f t="shared" si="6"/>
        <v>8.4829370855571719E-3</v>
      </c>
    </row>
    <row r="65" spans="2:5">
      <c r="B65" s="8"/>
      <c r="C65" s="18">
        <v>149.5</v>
      </c>
      <c r="D65" s="48">
        <v>1.17</v>
      </c>
      <c r="E65" s="35">
        <f t="shared" si="6"/>
        <v>7.826086956521738E-3</v>
      </c>
    </row>
    <row r="66" spans="2:5">
      <c r="B66" s="8"/>
      <c r="C66" s="18">
        <v>170.62</v>
      </c>
      <c r="D66" s="48">
        <v>1.1579999999999999</v>
      </c>
      <c r="E66" s="35">
        <f t="shared" si="6"/>
        <v>6.7870120736138783E-3</v>
      </c>
    </row>
    <row r="67" spans="2:5">
      <c r="B67" s="8"/>
      <c r="C67" s="18">
        <v>192.66</v>
      </c>
      <c r="D67" s="48">
        <v>1.0900000000000001</v>
      </c>
      <c r="E67" s="35">
        <f t="shared" si="6"/>
        <v>5.6576352122910834E-3</v>
      </c>
    </row>
    <row r="68" spans="2:5">
      <c r="B68" s="8"/>
      <c r="C68" s="18">
        <v>257.33999999999997</v>
      </c>
      <c r="D68" s="48">
        <v>1.1299999999999999</v>
      </c>
      <c r="E68" s="35">
        <f t="shared" ref="E68:E74" si="7">(D68/C68)</f>
        <v>4.3910779513484108E-3</v>
      </c>
    </row>
    <row r="69" spans="2:5">
      <c r="B69" s="8"/>
      <c r="C69" s="18">
        <v>312.13</v>
      </c>
      <c r="D69" s="48">
        <v>0.82</v>
      </c>
      <c r="E69" s="35">
        <f t="shared" si="7"/>
        <v>2.6271104988306155E-3</v>
      </c>
    </row>
    <row r="70" spans="2:5">
      <c r="B70" s="8"/>
      <c r="C70" s="18">
        <v>352.46100000000001</v>
      </c>
      <c r="D70" s="48">
        <v>1.2074</v>
      </c>
      <c r="E70" s="35">
        <f t="shared" si="7"/>
        <v>3.4256272325165053E-3</v>
      </c>
    </row>
    <row r="71" spans="2:5">
      <c r="B71" s="8"/>
      <c r="C71" s="18">
        <v>263.04000000000002</v>
      </c>
      <c r="D71" s="48">
        <v>1.0588</v>
      </c>
      <c r="E71" s="35">
        <f t="shared" si="7"/>
        <v>4.0252433090024325E-3</v>
      </c>
    </row>
    <row r="72" spans="2:5">
      <c r="B72" s="8"/>
      <c r="C72" s="18">
        <v>359.00495999999998</v>
      </c>
      <c r="D72" s="48">
        <v>1.1194999999999999</v>
      </c>
      <c r="E72" s="35">
        <f t="shared" si="7"/>
        <v>3.1183413176241355E-3</v>
      </c>
    </row>
    <row r="73" spans="2:5">
      <c r="B73" s="8"/>
      <c r="C73" s="18">
        <v>327.91</v>
      </c>
      <c r="D73" s="48">
        <v>1.0785</v>
      </c>
      <c r="E73" s="35">
        <f t="shared" si="7"/>
        <v>3.2890122289652647E-3</v>
      </c>
    </row>
    <row r="74" spans="2:5">
      <c r="B74" s="8"/>
      <c r="C74" s="18">
        <v>925.39</v>
      </c>
      <c r="D74" s="48">
        <v>3.1734</v>
      </c>
      <c r="E74" s="35">
        <f t="shared" si="7"/>
        <v>3.4292568538670182E-3</v>
      </c>
    </row>
    <row r="75" spans="2:5">
      <c r="B75" s="8"/>
      <c r="C75" s="18">
        <v>109.44</v>
      </c>
      <c r="D75" s="48"/>
      <c r="E75" s="35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8">
        <f>(SUM(D57:D76))</f>
        <v>18.479751999999998</v>
      </c>
    </row>
  </sheetData>
  <conditionalFormatting sqref="L35">
    <cfRule type="cellIs" dxfId="283" priority="17" operator="lessThan">
      <formula>$C$5</formula>
    </cfRule>
    <cfRule type="cellIs" dxfId="282" priority="18" operator="greaterThan">
      <formula>$C$5</formula>
    </cfRule>
  </conditionalFormatting>
  <conditionalFormatting sqref="L36">
    <cfRule type="cellIs" dxfId="281" priority="15" operator="lessThan">
      <formula>$C$6</formula>
    </cfRule>
    <cfRule type="cellIs" dxfId="280" priority="16" operator="greaterThan">
      <formula>$C$6</formula>
    </cfRule>
  </conditionalFormatting>
  <conditionalFormatting sqref="L40">
    <cfRule type="cellIs" dxfId="279" priority="13" operator="lessThan">
      <formula>$C$20</formula>
    </cfRule>
    <cfRule type="cellIs" dxfId="278" priority="14" operator="greaterThan">
      <formula>$C$20</formula>
    </cfRule>
  </conditionalFormatting>
  <conditionalFormatting sqref="L39">
    <cfRule type="cellIs" dxfId="277" priority="11" operator="lessThan">
      <formula>$C$19</formula>
    </cfRule>
    <cfRule type="cellIs" dxfId="276" priority="12" operator="greaterThan">
      <formula>$C$19</formula>
    </cfRule>
  </conditionalFormatting>
  <conditionalFormatting sqref="L38">
    <cfRule type="cellIs" dxfId="275" priority="9" operator="lessThan">
      <formula>$C$17</formula>
    </cfRule>
    <cfRule type="cellIs" dxfId="274" priority="10" operator="greaterThan">
      <formula>$C$17</formula>
    </cfRule>
  </conditionalFormatting>
  <conditionalFormatting sqref="L37">
    <cfRule type="cellIs" dxfId="273" priority="7" operator="lessThan">
      <formula>$C$7</formula>
    </cfRule>
    <cfRule type="cellIs" dxfId="272" priority="8" operator="greaterThan">
      <formula>$C$7</formula>
    </cfRule>
  </conditionalFormatting>
  <conditionalFormatting sqref="L43">
    <cfRule type="cellIs" dxfId="271" priority="3" operator="lessThan">
      <formula>$C$27</formula>
    </cfRule>
    <cfRule type="cellIs" dxfId="270" priority="4" operator="greaterThan">
      <formula>$C$27</formula>
    </cfRule>
  </conditionalFormatting>
  <conditionalFormatting sqref="L44:L46">
    <cfRule type="cellIs" dxfId="269" priority="1" operator="lessThan">
      <formula>$C$7</formula>
    </cfRule>
    <cfRule type="cellIs" dxfId="26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8">
        <f>(-137/3)</f>
        <v>-45.666666666666664</v>
      </c>
      <c r="D4" s="2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87" width="9.140625" style="25" customWidth="1"/>
    <col min="388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12.99688268547291</v>
      </c>
      <c r="M3" t="s">
        <v>4</v>
      </c>
      <c r="N3" s="23">
        <f>(INDEX(N5:N21,MATCH(MAX(O6:O8),O5:O21,0))/0.85)</f>
        <v>0.13985732941176471</v>
      </c>
      <c r="O3" s="29">
        <f>(MAX(O6:O8)*0.75)</f>
        <v>6.6000000000000005</v>
      </c>
      <c r="P3" s="49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4.079301025815071</v>
      </c>
      <c r="K4" s="4">
        <f>(J4/D13-1)</f>
        <v>-3.5143227083445998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8">
        <f>4</f>
        <v>4</v>
      </c>
      <c r="D5" s="28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8">
        <f>(T5/R5)</f>
        <v>4</v>
      </c>
      <c r="T5" s="28">
        <f>D5</f>
        <v>2.3775746</v>
      </c>
    </row>
    <row r="6" spans="2:21">
      <c r="B6" s="2">
        <v>2.7860000000000001E-5</v>
      </c>
      <c r="C6" s="31">
        <v>0</v>
      </c>
      <c r="D6" s="31">
        <f>(B6*C6)</f>
        <v>0</v>
      </c>
      <c r="E6" s="28">
        <f>(B6*J3)</f>
        <v>3.6209315161727528E-4</v>
      </c>
      <c r="M6" t="s">
        <v>10</v>
      </c>
      <c r="N6" s="1">
        <f>$B$5/5</f>
        <v>0.11887873</v>
      </c>
      <c r="O6" s="28">
        <f>($C$5*[1]Params!K8)</f>
        <v>5.2</v>
      </c>
      <c r="P6" s="28">
        <f>O6*N6</f>
        <v>0.61816939599999998</v>
      </c>
      <c r="Q6" t="s">
        <v>11</v>
      </c>
      <c r="R6" s="2">
        <f>(B6)</f>
        <v>2.7860000000000001E-5</v>
      </c>
      <c r="S6" s="31">
        <v>0</v>
      </c>
      <c r="T6" s="31">
        <f>(D6)</f>
        <v>0</v>
      </c>
      <c r="U6" s="28">
        <f>(R6*J3)</f>
        <v>3.6209315161727528E-4</v>
      </c>
    </row>
    <row r="7" spans="2:21">
      <c r="B7" s="1">
        <v>-0.28055385999999999</v>
      </c>
      <c r="C7" s="28">
        <f>D7/B7</f>
        <v>14.257511908765041</v>
      </c>
      <c r="D7" s="28">
        <v>-4</v>
      </c>
      <c r="N7" s="1">
        <f>$B$5/5</f>
        <v>0.11887873</v>
      </c>
      <c r="O7" s="28">
        <f>($C$5*[1]Params!K9)</f>
        <v>6.4</v>
      </c>
      <c r="P7" s="28">
        <f>O7*N7</f>
        <v>0.76082387200000001</v>
      </c>
      <c r="Q7" t="s">
        <v>11</v>
      </c>
      <c r="R7" s="39"/>
      <c r="S7" s="28"/>
      <c r="T7" s="28"/>
    </row>
    <row r="8" spans="2:21">
      <c r="B8" s="1"/>
      <c r="C8" s="28"/>
      <c r="D8" s="28"/>
      <c r="N8" s="1">
        <f>$B$5/5</f>
        <v>0.11887873</v>
      </c>
      <c r="O8" s="28">
        <f>($C$5*[1]Params!K10)</f>
        <v>8.8000000000000007</v>
      </c>
      <c r="P8" s="28">
        <f>(O8*N8)</f>
        <v>1.0461328240000001</v>
      </c>
      <c r="Q8" t="s">
        <v>11</v>
      </c>
      <c r="R8" s="1"/>
      <c r="S8" s="28"/>
      <c r="T8" s="28"/>
    </row>
    <row r="9" spans="2:21">
      <c r="B9" s="1"/>
      <c r="C9" s="28"/>
      <c r="D9" s="28"/>
      <c r="N9" s="1">
        <f>($B$13-B7)/5</f>
        <v>0.118884302</v>
      </c>
      <c r="O9" s="28">
        <f>($C$5*[1]Params!K11)</f>
        <v>20</v>
      </c>
      <c r="P9" s="28">
        <f>(O9*N9)</f>
        <v>2.3776860399999999</v>
      </c>
      <c r="R9" s="1"/>
      <c r="S9" s="29"/>
      <c r="T9" s="29"/>
    </row>
    <row r="10" spans="2:21">
      <c r="B10" s="1"/>
      <c r="C10" s="29"/>
      <c r="D10" s="28"/>
      <c r="N10" s="1"/>
      <c r="P10" s="28"/>
    </row>
    <row r="11" spans="2:21">
      <c r="B11" s="1"/>
      <c r="C11" s="29"/>
      <c r="D11" s="28"/>
      <c r="P11" s="28">
        <f>(SUM(P6:P9))</f>
        <v>4.8028121319999997</v>
      </c>
    </row>
    <row r="12" spans="2:21">
      <c r="F12" t="s">
        <v>12</v>
      </c>
      <c r="G12" s="49">
        <f>(D13/B13)</f>
        <v>-5.1691386480894099</v>
      </c>
    </row>
    <row r="13" spans="2:21">
      <c r="B13" s="1">
        <f>(SUM(B5:B12))</f>
        <v>0.31386765</v>
      </c>
      <c r="D13" s="28">
        <f>(SUM(D5:D12))</f>
        <v>-1.6224254</v>
      </c>
      <c r="R13" s="1">
        <f>(SUM(R5:R12))</f>
        <v>0.59442150999999999</v>
      </c>
      <c r="T13" s="28">
        <f>(SUM(T5:T12))</f>
        <v>2.3775746</v>
      </c>
    </row>
    <row r="18" spans="5:15">
      <c r="N18" s="1">
        <f>N6+N7+N8+B7</f>
        <v>7.6082330000000031E-2</v>
      </c>
      <c r="O18" s="29"/>
    </row>
    <row r="21" spans="5:15">
      <c r="E21" s="50"/>
    </row>
  </sheetData>
  <conditionalFormatting sqref="C5 G12 S5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O9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O3">
    <cfRule type="cellIs" dxfId="263" priority="1" operator="greaterThan">
      <formula>$J$3</formula>
    </cfRule>
    <cfRule type="cellIs" dxfId="262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8">
        <v>0.74166666206846776</v>
      </c>
      <c r="M3" t="s">
        <v>4</v>
      </c>
      <c r="N3" s="23">
        <f>(INDEX(N5:N21,MATCH(MAX(O6:O7),O5:O21,0))/0.85)</f>
        <v>26.47058823529412</v>
      </c>
      <c r="O3" s="29">
        <f>(MAX(O6:O7)*0.75)</f>
        <v>0.44872565177382762</v>
      </c>
      <c r="P3" s="28">
        <f>(O3*N3)</f>
        <v>11.878031958718967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(B13*J3)</f>
        <v>62.524900150023612</v>
      </c>
      <c r="K4" s="4">
        <f>(J4/D13-1)</f>
        <v>1.5623270861374343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8">
        <f>(D5/B5)</f>
        <v>0.25104143031116005</v>
      </c>
      <c r="D5" s="28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8">
        <f>(T5/R5)</f>
        <v>0.25104143031116005</v>
      </c>
      <c r="T5" s="28">
        <f>D5</f>
        <v>0.5</v>
      </c>
    </row>
    <row r="6" spans="2:21">
      <c r="B6" s="2">
        <v>0.79569677000000005</v>
      </c>
      <c r="C6" s="31">
        <v>0</v>
      </c>
      <c r="D6" s="31">
        <f>(B6*C6)</f>
        <v>0</v>
      </c>
      <c r="E6" s="28">
        <f>(B6*J3)</f>
        <v>0.59014176742456137</v>
      </c>
      <c r="M6" t="s">
        <v>10</v>
      </c>
      <c r="N6" s="1">
        <f>-B10</f>
        <v>22.57</v>
      </c>
      <c r="O6" s="28">
        <f>P6/N6</f>
        <v>0.44671816437749229</v>
      </c>
      <c r="P6" s="28">
        <f>-D10</f>
        <v>10.08242897</v>
      </c>
      <c r="Q6" t="s">
        <v>11</v>
      </c>
      <c r="R6" s="2">
        <f>(B6)</f>
        <v>0.79569677000000005</v>
      </c>
      <c r="S6" s="31">
        <v>0</v>
      </c>
      <c r="T6" s="31">
        <f>(D6)</f>
        <v>0</v>
      </c>
      <c r="U6" s="28">
        <f>(R6*J3)</f>
        <v>0.59014176742456137</v>
      </c>
    </row>
    <row r="7" spans="2:21">
      <c r="B7" s="1">
        <v>125.93815071</v>
      </c>
      <c r="C7" s="28">
        <f>(D7/B7)</f>
        <v>0.36764078032728797</v>
      </c>
      <c r="D7" s="28">
        <v>46.3</v>
      </c>
      <c r="E7" t="s">
        <v>15</v>
      </c>
      <c r="N7" s="1">
        <f>-B11</f>
        <v>22.5</v>
      </c>
      <c r="O7" s="28">
        <f>($S$7*[1]Params!K9)</f>
        <v>0.59830086903177016</v>
      </c>
      <c r="P7" s="28">
        <f>-D11</f>
        <v>12.305999999999999</v>
      </c>
      <c r="Q7" t="s">
        <v>11</v>
      </c>
      <c r="R7" s="39">
        <f>B7+B10</f>
        <v>103.36815071000001</v>
      </c>
      <c r="S7" s="28">
        <f>(T7/R7)</f>
        <v>0.37393804314485635</v>
      </c>
      <c r="T7" s="28">
        <f>D7+B10*0.3388</f>
        <v>38.653283999999999</v>
      </c>
      <c r="U7" t="s">
        <v>15</v>
      </c>
    </row>
    <row r="8" spans="2:21">
      <c r="B8" s="1">
        <v>-3.1156999999999999</v>
      </c>
      <c r="C8" s="28">
        <f>(D8/B8)</f>
        <v>0.3241529704400295</v>
      </c>
      <c r="D8" s="28">
        <v>-1.0099634099999999</v>
      </c>
      <c r="N8" s="1">
        <f>3*($B$13-B11-B10)/5-N7-N6</f>
        <v>32.553942008</v>
      </c>
      <c r="O8" s="28">
        <f>($C$7*[1]Params!K10)</f>
        <v>0.80880971672003366</v>
      </c>
      <c r="P8" s="28">
        <f>(O8*N8)</f>
        <v>26.329944613610884</v>
      </c>
      <c r="R8" s="1">
        <f>(B8+B9)</f>
        <v>0.64768608000000016</v>
      </c>
      <c r="S8" s="28">
        <v>0</v>
      </c>
      <c r="T8" s="28">
        <f>D8+D9</f>
        <v>-9.9634099999998949E-3</v>
      </c>
    </row>
    <row r="9" spans="2:21">
      <c r="B9" s="1">
        <v>3.7633860800000001</v>
      </c>
      <c r="C9" s="28">
        <f>(D9/B9)</f>
        <v>0.26571815347735994</v>
      </c>
      <c r="D9" s="28">
        <v>1</v>
      </c>
      <c r="N9" s="1">
        <f>($B$13/5)</f>
        <v>16.860647336</v>
      </c>
      <c r="O9" s="28">
        <f>($C$7*[1]Params!K11)</f>
        <v>1.8382039016364398</v>
      </c>
      <c r="P9" s="28">
        <f>(O9*N9)</f>
        <v>30.993307717151243</v>
      </c>
      <c r="R9" s="1">
        <f>B10-B10</f>
        <v>0</v>
      </c>
      <c r="S9" s="29">
        <v>0</v>
      </c>
      <c r="T9" s="29">
        <f>D10-B10*0.3388</f>
        <v>-2.4357129700000009</v>
      </c>
    </row>
    <row r="10" spans="2:21">
      <c r="B10" s="1">
        <v>-22.57</v>
      </c>
      <c r="C10" s="29">
        <f>D10/B10</f>
        <v>0.44671816437749229</v>
      </c>
      <c r="D10" s="28">
        <v>-10.08242897</v>
      </c>
      <c r="N10" s="1"/>
      <c r="P10" s="28"/>
    </row>
    <row r="11" spans="2:21">
      <c r="B11" s="1">
        <v>-22.5</v>
      </c>
      <c r="C11" s="29">
        <f>D11/B11</f>
        <v>0.54693333333333327</v>
      </c>
      <c r="D11" s="28">
        <v>-12.305999999999999</v>
      </c>
      <c r="P11" s="28">
        <f>(SUM(P6:P9))</f>
        <v>79.711681300762123</v>
      </c>
    </row>
    <row r="12" spans="2:21">
      <c r="F12" t="s">
        <v>12</v>
      </c>
      <c r="G12" s="49">
        <f>(D13/B13)</f>
        <v>0.28945042421827927</v>
      </c>
    </row>
    <row r="13" spans="2:21">
      <c r="B13" s="1">
        <f>(SUM(B5:B12))</f>
        <v>84.303236679999998</v>
      </c>
      <c r="D13" s="28">
        <f>(SUM(D5:D12))</f>
        <v>24.40160762</v>
      </c>
      <c r="R13" s="1">
        <f>(SUM(R5:R12))</f>
        <v>106.80323668000001</v>
      </c>
      <c r="T13" s="28">
        <f>(SUM(T5:T12))</f>
        <v>36.707607620000005</v>
      </c>
    </row>
  </sheetData>
  <conditionalFormatting sqref="C5 C7 G12 S5 S7">
    <cfRule type="cellIs" dxfId="261" priority="19" operator="lessThan">
      <formula>$J$3</formula>
    </cfRule>
    <cfRule type="cellIs" dxfId="260" priority="20" operator="greaterThan">
      <formula>$J$3</formula>
    </cfRule>
  </conditionalFormatting>
  <conditionalFormatting sqref="O8:O9">
    <cfRule type="cellIs" dxfId="259" priority="15" operator="lessThan">
      <formula>$J$3</formula>
    </cfRule>
    <cfRule type="cellIs" dxfId="258" priority="16" operator="greaterThan">
      <formula>$J$3</formula>
    </cfRule>
  </conditionalFormatting>
  <conditionalFormatting sqref="C9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O3">
    <cfRule type="cellIs" dxfId="255" priority="1" operator="greaterThan">
      <formula>$J$3</formula>
    </cfRule>
    <cfRule type="cellIs" dxfId="254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9">
        <v>0.240753566912458</v>
      </c>
      <c r="M3" t="s">
        <v>4</v>
      </c>
      <c r="N3" s="39">
        <f>(INDEX(N5:N24,MATCH(MAX(O6),O5:O24,O6))/0.85)</f>
        <v>15.458823529411767</v>
      </c>
      <c r="O3" s="29">
        <f>(MAX(O6)*0.75)</f>
        <v>0.17533197716894977</v>
      </c>
      <c r="P3" s="28">
        <f>(O3*N3)</f>
        <v>2.7104260941176475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8">
        <f>(B15*J3)</f>
        <v>12.659112612969531</v>
      </c>
      <c r="K4" s="4">
        <f>(J4/D15-1)</f>
        <v>0.97280566562329729</v>
      </c>
      <c r="R4" t="s">
        <v>5</v>
      </c>
      <c r="S4" t="s">
        <v>6</v>
      </c>
      <c r="T4" t="s">
        <v>7</v>
      </c>
    </row>
    <row r="5" spans="2:21">
      <c r="B5" s="39">
        <v>60.14</v>
      </c>
      <c r="C5" s="28">
        <f>(D5/B5)</f>
        <v>0.16877286331892252</v>
      </c>
      <c r="D5" s="28">
        <v>10.15</v>
      </c>
      <c r="N5" t="s">
        <v>30</v>
      </c>
      <c r="O5" t="s">
        <v>1</v>
      </c>
      <c r="P5" t="s">
        <v>2</v>
      </c>
      <c r="R5" s="39">
        <f>(B5)</f>
        <v>60.14</v>
      </c>
      <c r="S5" s="28">
        <f>(T5/R5)</f>
        <v>0.16877286331892252</v>
      </c>
      <c r="T5" s="28">
        <f>D5</f>
        <v>10.15</v>
      </c>
    </row>
    <row r="6" spans="2:21">
      <c r="B6" s="2">
        <v>0.58820481999999996</v>
      </c>
      <c r="C6" s="31">
        <v>0</v>
      </c>
      <c r="D6" s="31">
        <f>(B6*C6)</f>
        <v>0</v>
      </c>
      <c r="E6" s="28">
        <f>(B6*J3)</f>
        <v>0.14161240849010032</v>
      </c>
      <c r="M6" t="s">
        <v>10</v>
      </c>
      <c r="N6" s="39">
        <f>-B13</f>
        <v>13.14</v>
      </c>
      <c r="O6" s="28">
        <f>P6/N6</f>
        <v>0.23377596955859969</v>
      </c>
      <c r="P6" s="28">
        <f>-D13</f>
        <v>3.07181624</v>
      </c>
      <c r="Q6" t="s">
        <v>11</v>
      </c>
      <c r="R6" s="51">
        <f>(B6)</f>
        <v>0.58820481999999996</v>
      </c>
      <c r="S6" s="31">
        <v>0</v>
      </c>
      <c r="T6" s="31">
        <f>(D6)</f>
        <v>0</v>
      </c>
      <c r="U6" s="28">
        <f>(E6)</f>
        <v>0.14161240849010032</v>
      </c>
    </row>
    <row r="7" spans="2:21">
      <c r="B7" s="39">
        <v>-12.028</v>
      </c>
      <c r="C7" s="28">
        <f t="shared" ref="C7:C13" si="0">(D7/B7)</f>
        <v>0.21200000000000002</v>
      </c>
      <c r="D7" s="28">
        <v>-2.5499360000000002</v>
      </c>
      <c r="N7" s="39">
        <f>$B$15/5</f>
        <v>10.516240964000001</v>
      </c>
      <c r="O7" s="28">
        <f>($C$5*[1]Params!K9)</f>
        <v>0.27003658131027602</v>
      </c>
      <c r="P7" s="28">
        <f>(O7*N7)</f>
        <v>2.8397697581536421</v>
      </c>
      <c r="R7" s="39">
        <f>SUM(B7:B12)</f>
        <v>4.9930000000000021</v>
      </c>
      <c r="S7" s="28">
        <v>0</v>
      </c>
      <c r="T7" s="28">
        <f>SUM(D7:D12)</f>
        <v>-0.66137706000000041</v>
      </c>
      <c r="U7" s="29"/>
    </row>
    <row r="8" spans="2:21">
      <c r="B8" s="39">
        <v>-12</v>
      </c>
      <c r="C8" s="28">
        <f t="shared" si="0"/>
        <v>0.255</v>
      </c>
      <c r="D8" s="28">
        <v>-3.06</v>
      </c>
      <c r="N8" s="39">
        <f>($B$15)/5</f>
        <v>10.516240964000001</v>
      </c>
      <c r="O8" s="28">
        <f>($C$5*[1]Params!K10)</f>
        <v>0.37130029930162955</v>
      </c>
      <c r="P8" s="28">
        <f>(O8*N8)</f>
        <v>3.9046834174612579</v>
      </c>
      <c r="R8" s="39"/>
      <c r="S8" s="28"/>
      <c r="T8" s="28"/>
    </row>
    <row r="9" spans="2:21">
      <c r="B9" s="39">
        <v>13.39371616</v>
      </c>
      <c r="C9" s="28">
        <f t="shared" si="0"/>
        <v>0.21471262834346938</v>
      </c>
      <c r="D9" s="28">
        <v>2.8757999999999999</v>
      </c>
      <c r="N9" s="39">
        <f>($B$15)/5</f>
        <v>10.516240964000001</v>
      </c>
      <c r="O9" s="28">
        <f>($C$5*[1]Params!K11)</f>
        <v>0.84386431659461258</v>
      </c>
      <c r="P9" s="28">
        <f>(O9*N9)</f>
        <v>8.8742804942301312</v>
      </c>
    </row>
    <row r="10" spans="2:21">
      <c r="B10" s="39">
        <v>13.23709339</v>
      </c>
      <c r="C10" s="28">
        <f t="shared" si="0"/>
        <v>0.18206413817557876</v>
      </c>
      <c r="D10" s="28">
        <v>2.41</v>
      </c>
    </row>
    <row r="11" spans="2:21">
      <c r="B11" s="39">
        <v>-12.66</v>
      </c>
      <c r="C11" s="28">
        <f t="shared" si="0"/>
        <v>0.22253088941548185</v>
      </c>
      <c r="D11" s="28">
        <v>-2.8172410600000002</v>
      </c>
    </row>
    <row r="12" spans="2:21">
      <c r="B12" s="39">
        <v>15.050190450000001</v>
      </c>
      <c r="C12" s="28">
        <f t="shared" si="0"/>
        <v>0.16478196792519659</v>
      </c>
      <c r="D12" s="28">
        <v>2.48</v>
      </c>
      <c r="P12" s="28">
        <f>(SUM(P6:P9))</f>
        <v>18.690549909845032</v>
      </c>
    </row>
    <row r="13" spans="2:21">
      <c r="B13" s="39">
        <v>-13.14</v>
      </c>
      <c r="C13" s="28">
        <f t="shared" si="0"/>
        <v>0.23377596955859969</v>
      </c>
      <c r="D13" s="28">
        <v>-3.07181624</v>
      </c>
      <c r="P13" s="28"/>
    </row>
    <row r="14" spans="2:21">
      <c r="F14" t="s">
        <v>12</v>
      </c>
      <c r="G14" s="28">
        <f>(D15/B15)</f>
        <v>0.12203612910671219</v>
      </c>
    </row>
    <row r="15" spans="2:21">
      <c r="B15" s="39">
        <f>(SUM(B5:B14))</f>
        <v>52.581204820000011</v>
      </c>
      <c r="D15" s="28">
        <f>(SUM(D5:D14))</f>
        <v>6.4168066999999986</v>
      </c>
    </row>
    <row r="18" spans="11:20">
      <c r="N18" s="39"/>
      <c r="R18" s="39">
        <f>(SUM(R5:R17))</f>
        <v>65.721204819999997</v>
      </c>
      <c r="T18" s="28">
        <f>(SUM(T5:T17))</f>
        <v>9.4886229399999991</v>
      </c>
    </row>
    <row r="21" spans="11:20">
      <c r="K21" s="29"/>
    </row>
  </sheetData>
  <conditionalFormatting sqref="C5">
    <cfRule type="cellIs" dxfId="253" priority="17" operator="lessThan">
      <formula>$J$3</formula>
    </cfRule>
    <cfRule type="cellIs" dxfId="252" priority="18" operator="greaterThan">
      <formula>$J$3</formula>
    </cfRule>
  </conditionalFormatting>
  <conditionalFormatting sqref="C9:C10">
    <cfRule type="cellIs" dxfId="251" priority="15" operator="lessThan">
      <formula>$J$3</formula>
    </cfRule>
    <cfRule type="cellIs" dxfId="250" priority="16" operator="greaterThan">
      <formula>$J$3</formula>
    </cfRule>
  </conditionalFormatting>
  <conditionalFormatting sqref="O7:O9">
    <cfRule type="cellIs" dxfId="249" priority="13" operator="lessThan">
      <formula>$J$3</formula>
    </cfRule>
    <cfRule type="cellIs" dxfId="248" priority="14" operator="greaterThan">
      <formula>$J$3</formula>
    </cfRule>
  </conditionalFormatting>
  <conditionalFormatting sqref="S5 S7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G14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O3">
    <cfRule type="cellIs" dxfId="243" priority="3" operator="greaterThan">
      <formula>$J$3</formula>
    </cfRule>
    <cfRule type="cellIs" dxfId="242" priority="4" operator="lessThan">
      <formula>$J$3</formula>
    </cfRule>
  </conditionalFormatting>
  <conditionalFormatting sqref="C12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AMP</vt:lpstr>
      <vt:lpstr>APE</vt:lpstr>
      <vt:lpstr>ATOM</vt:lpstr>
      <vt:lpstr>AVAX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2024-03-02T19:42:45Z</dcterms:modified>
</cp:coreProperties>
</file>