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360" yWindow="570" windowWidth="28215" windowHeight="11955" tabRatio="933" activeTab="11"/>
  </bookViews>
  <sheets>
    <sheet name="ETH" sheetId="1" r:id="rId1"/>
    <sheet name="BTC" sheetId="2" r:id="rId2"/>
    <sheet name="DefiCake" sheetId="3" r:id="rId3"/>
    <sheet name="POLIS" sheetId="4" r:id="rId4"/>
    <sheet name="ATLAS" sheetId="5" r:id="rId5"/>
    <sheet name="BIGTIME" sheetId="6" r:id="rId6"/>
    <sheet name="Ayman" sheetId="7" r:id="rId7"/>
    <sheet name="ADA" sheetId="8" r:id="rId8"/>
    <sheet name="ALGO" sheetId="9" r:id="rId9"/>
    <sheet name="APE" sheetId="10" r:id="rId10"/>
    <sheet name="ATOM" sheetId="11" r:id="rId11"/>
    <sheet name="AVAX" sheetId="12" r:id="rId12"/>
    <sheet name="AMP" sheetId="13" r:id="rId13"/>
    <sheet name="BNB" sheetId="14" r:id="rId14"/>
    <sheet name="DOGE" sheetId="15" r:id="rId15"/>
    <sheet name="DOT" sheetId="16" r:id="rId16"/>
    <sheet name="EGLD" sheetId="17" r:id="rId17"/>
    <sheet name="ICP" sheetId="18" r:id="rId18"/>
    <sheet name="LDO" sheetId="19" r:id="rId19"/>
    <sheet name="LINK" sheetId="20" r:id="rId20"/>
    <sheet name="LTC" sheetId="21" r:id="rId21"/>
    <sheet name="LUNA" sheetId="22" r:id="rId22"/>
    <sheet name="LUNC" sheetId="23" r:id="rId23"/>
    <sheet name="MATIC" sheetId="24" r:id="rId24"/>
    <sheet name="MINA" sheetId="25" r:id="rId25"/>
    <sheet name="NEAR" sheetId="26" r:id="rId26"/>
    <sheet name="SHIB" sheetId="27" r:id="rId27"/>
    <sheet name="SOL" sheetId="28" r:id="rId28"/>
    <sheet name="TRX" sheetId="29" r:id="rId29"/>
    <sheet name="UNI" sheetId="30" r:id="rId30"/>
    <sheet name="XRP" sheetId="31" r:id="rId31"/>
    <sheet name="GRT" sheetId="32" r:id="rId32"/>
    <sheet name="KAVA" sheetId="33" r:id="rId33"/>
    <sheet name="SHPING" sheetId="34" r:id="rId34"/>
    <sheet name="Params" sheetId="35" r:id="rId35"/>
  </sheets>
  <calcPr calcId="124519"/>
</workbook>
</file>

<file path=xl/calcChain.xml><?xml version="1.0" encoding="utf-8"?>
<calcChain xmlns="http://schemas.openxmlformats.org/spreadsheetml/2006/main">
  <c r="T7" i="9"/>
  <c r="R7"/>
  <c r="N26" i="35" l="1"/>
  <c r="N25"/>
  <c r="N24"/>
  <c r="N23"/>
  <c r="N22"/>
  <c r="N27" s="1"/>
  <c r="O27" s="1"/>
  <c r="P27" s="1"/>
  <c r="N19"/>
  <c r="N18"/>
  <c r="N17"/>
  <c r="N16"/>
  <c r="N15"/>
  <c r="N20" s="1"/>
  <c r="O20" s="1"/>
  <c r="P20" s="1"/>
  <c r="N12"/>
  <c r="N11"/>
  <c r="N10"/>
  <c r="N9"/>
  <c r="N8"/>
  <c r="N13" s="1"/>
  <c r="O13" s="1"/>
  <c r="P13" s="1"/>
  <c r="D10" i="34"/>
  <c r="B10"/>
  <c r="N9"/>
  <c r="G9"/>
  <c r="N8"/>
  <c r="N7"/>
  <c r="N6"/>
  <c r="C5"/>
  <c r="O7" s="1"/>
  <c r="P7" s="1"/>
  <c r="J4"/>
  <c r="K4" s="1"/>
  <c r="D10" i="33"/>
  <c r="B10"/>
  <c r="N9"/>
  <c r="G9"/>
  <c r="N8"/>
  <c r="N7"/>
  <c r="N6"/>
  <c r="C5"/>
  <c r="O9" s="1"/>
  <c r="P9" s="1"/>
  <c r="J4"/>
  <c r="K4" s="1"/>
  <c r="D10" i="32"/>
  <c r="B10"/>
  <c r="N9"/>
  <c r="G9"/>
  <c r="N8"/>
  <c r="C8"/>
  <c r="O8" s="1"/>
  <c r="P8" s="1"/>
  <c r="N7"/>
  <c r="C7"/>
  <c r="O7" s="1"/>
  <c r="P7" s="1"/>
  <c r="N6"/>
  <c r="C6"/>
  <c r="O6" s="1"/>
  <c r="C5"/>
  <c r="O9" s="1"/>
  <c r="P9" s="1"/>
  <c r="J4"/>
  <c r="K4" s="1"/>
  <c r="B13" i="31"/>
  <c r="N9"/>
  <c r="N8"/>
  <c r="C8"/>
  <c r="C7"/>
  <c r="T6"/>
  <c r="S6"/>
  <c r="R6"/>
  <c r="P6"/>
  <c r="N6"/>
  <c r="N7" s="1"/>
  <c r="E6"/>
  <c r="D6"/>
  <c r="D13" s="1"/>
  <c r="G12" s="1"/>
  <c r="T5"/>
  <c r="T17" s="1"/>
  <c r="R5"/>
  <c r="R17" s="1"/>
  <c r="C5"/>
  <c r="O8" s="1"/>
  <c r="P8" s="1"/>
  <c r="J4"/>
  <c r="K4" s="1"/>
  <c r="B10" i="30"/>
  <c r="N9"/>
  <c r="N8"/>
  <c r="N7"/>
  <c r="N6"/>
  <c r="E6"/>
  <c r="D6"/>
  <c r="D10" s="1"/>
  <c r="G9" s="1"/>
  <c r="C5"/>
  <c r="O9" s="1"/>
  <c r="P9" s="1"/>
  <c r="J4"/>
  <c r="K4" s="1"/>
  <c r="B13" i="29"/>
  <c r="N9"/>
  <c r="N8"/>
  <c r="N7"/>
  <c r="N6"/>
  <c r="E6"/>
  <c r="D6"/>
  <c r="D13" s="1"/>
  <c r="G12" s="1"/>
  <c r="C5"/>
  <c r="O9" s="1"/>
  <c r="P9" s="1"/>
  <c r="J4"/>
  <c r="K4" s="1"/>
  <c r="D29" i="28"/>
  <c r="C29"/>
  <c r="C28"/>
  <c r="B28"/>
  <c r="C27"/>
  <c r="C26"/>
  <c r="B26"/>
  <c r="C25"/>
  <c r="C24"/>
  <c r="N23"/>
  <c r="C23"/>
  <c r="C22"/>
  <c r="O23" s="1"/>
  <c r="T21"/>
  <c r="R21"/>
  <c r="C21"/>
  <c r="T20"/>
  <c r="R20"/>
  <c r="C20"/>
  <c r="T19"/>
  <c r="R19"/>
  <c r="C19"/>
  <c r="T18"/>
  <c r="R18"/>
  <c r="E18"/>
  <c r="T17"/>
  <c r="R17"/>
  <c r="C17"/>
  <c r="T16"/>
  <c r="R16"/>
  <c r="S16" s="1"/>
  <c r="C16"/>
  <c r="T15"/>
  <c r="S15" s="1"/>
  <c r="R15"/>
  <c r="N25" s="1"/>
  <c r="P15"/>
  <c r="O15"/>
  <c r="N15"/>
  <c r="B15"/>
  <c r="E15" s="1"/>
  <c r="T14"/>
  <c r="S14"/>
  <c r="R14"/>
  <c r="O14"/>
  <c r="P14" s="1"/>
  <c r="N14"/>
  <c r="E14"/>
  <c r="B14"/>
  <c r="T13"/>
  <c r="S13" s="1"/>
  <c r="R13"/>
  <c r="N17" s="1"/>
  <c r="B13"/>
  <c r="D13" s="1"/>
  <c r="T12"/>
  <c r="S12"/>
  <c r="R12"/>
  <c r="E12"/>
  <c r="T11"/>
  <c r="S11"/>
  <c r="R11"/>
  <c r="C11"/>
  <c r="T10"/>
  <c r="S10"/>
  <c r="R10"/>
  <c r="C10"/>
  <c r="S9"/>
  <c r="R9"/>
  <c r="O9"/>
  <c r="P9" s="1"/>
  <c r="N9"/>
  <c r="C9"/>
  <c r="B9"/>
  <c r="T8"/>
  <c r="R8"/>
  <c r="O8"/>
  <c r="N8"/>
  <c r="P8" s="1"/>
  <c r="B8"/>
  <c r="C8" s="1"/>
  <c r="T7"/>
  <c r="R7"/>
  <c r="O7"/>
  <c r="P7" s="1"/>
  <c r="N7"/>
  <c r="C7"/>
  <c r="T6"/>
  <c r="R6"/>
  <c r="O6"/>
  <c r="P6" s="1"/>
  <c r="N6"/>
  <c r="C6"/>
  <c r="B6"/>
  <c r="S5"/>
  <c r="B5"/>
  <c r="B31" s="1"/>
  <c r="J4" s="1"/>
  <c r="B13" i="27"/>
  <c r="N9"/>
  <c r="N8"/>
  <c r="N7"/>
  <c r="N6"/>
  <c r="E6"/>
  <c r="D6"/>
  <c r="D13" s="1"/>
  <c r="G12" s="1"/>
  <c r="C5"/>
  <c r="O8" s="1"/>
  <c r="P8" s="1"/>
  <c r="J4"/>
  <c r="K4" s="1"/>
  <c r="B19" i="26"/>
  <c r="C17"/>
  <c r="C16"/>
  <c r="C15"/>
  <c r="C14"/>
  <c r="C13"/>
  <c r="C12"/>
  <c r="C11"/>
  <c r="C10"/>
  <c r="R9"/>
  <c r="N9" s="1"/>
  <c r="D9"/>
  <c r="D19" s="1"/>
  <c r="T8"/>
  <c r="R8"/>
  <c r="V8" s="1"/>
  <c r="N8"/>
  <c r="C8"/>
  <c r="T7"/>
  <c r="R7"/>
  <c r="N7"/>
  <c r="E7"/>
  <c r="U6"/>
  <c r="T6"/>
  <c r="S6"/>
  <c r="R6"/>
  <c r="N6"/>
  <c r="C6"/>
  <c r="O17" s="1"/>
  <c r="T5"/>
  <c r="S5" s="1"/>
  <c r="R5"/>
  <c r="R22" s="1"/>
  <c r="C5"/>
  <c r="O9" s="1"/>
  <c r="P9" s="1"/>
  <c r="J4"/>
  <c r="B10" i="25"/>
  <c r="N9" s="1"/>
  <c r="N7"/>
  <c r="D7"/>
  <c r="E6"/>
  <c r="D6"/>
  <c r="D10" s="1"/>
  <c r="G9" s="1"/>
  <c r="C5"/>
  <c r="O7" s="1"/>
  <c r="P7" s="1"/>
  <c r="J4"/>
  <c r="E7" s="1"/>
  <c r="B16" i="24"/>
  <c r="D16" s="1"/>
  <c r="T9" s="1"/>
  <c r="D15"/>
  <c r="B15"/>
  <c r="B18" s="1"/>
  <c r="J4" s="1"/>
  <c r="N14"/>
  <c r="C14"/>
  <c r="C13"/>
  <c r="C12"/>
  <c r="C11"/>
  <c r="T10"/>
  <c r="R10"/>
  <c r="N15" s="1"/>
  <c r="C10"/>
  <c r="R9"/>
  <c r="N9" s="1"/>
  <c r="C9"/>
  <c r="T8"/>
  <c r="S8"/>
  <c r="R8"/>
  <c r="N8"/>
  <c r="C8"/>
  <c r="T7"/>
  <c r="S7" s="1"/>
  <c r="R7"/>
  <c r="C7"/>
  <c r="O9" s="1"/>
  <c r="P9" s="1"/>
  <c r="R6"/>
  <c r="U6" s="1"/>
  <c r="N6"/>
  <c r="E6"/>
  <c r="D6"/>
  <c r="D18" s="1"/>
  <c r="G17" s="1"/>
  <c r="T5"/>
  <c r="S5"/>
  <c r="R5"/>
  <c r="R17" s="1"/>
  <c r="C5"/>
  <c r="O17" s="1"/>
  <c r="B35" i="23"/>
  <c r="C35" s="1"/>
  <c r="N9" s="1"/>
  <c r="P9" s="1"/>
  <c r="C34"/>
  <c r="C33"/>
  <c r="B32"/>
  <c r="C32" s="1"/>
  <c r="C31"/>
  <c r="C30"/>
  <c r="C29"/>
  <c r="C28"/>
  <c r="C27"/>
  <c r="D26"/>
  <c r="B26"/>
  <c r="T25"/>
  <c r="R25"/>
  <c r="D25"/>
  <c r="T21" s="1"/>
  <c r="S21" s="1"/>
  <c r="B25"/>
  <c r="T24"/>
  <c r="R24"/>
  <c r="C24"/>
  <c r="T23"/>
  <c r="R23"/>
  <c r="C23"/>
  <c r="T22"/>
  <c r="R22"/>
  <c r="C22"/>
  <c r="R21"/>
  <c r="C21"/>
  <c r="R20"/>
  <c r="S20" s="1"/>
  <c r="D20"/>
  <c r="S19"/>
  <c r="R19"/>
  <c r="D19"/>
  <c r="R18"/>
  <c r="S18" s="1"/>
  <c r="E18"/>
  <c r="D18"/>
  <c r="R17"/>
  <c r="T17" s="1"/>
  <c r="D17"/>
  <c r="T16"/>
  <c r="R16"/>
  <c r="C16"/>
  <c r="R15"/>
  <c r="T15" s="1"/>
  <c r="C15"/>
  <c r="T14"/>
  <c r="R14"/>
  <c r="C14"/>
  <c r="T13"/>
  <c r="S13"/>
  <c r="R13"/>
  <c r="C13"/>
  <c r="R12"/>
  <c r="S12" s="1"/>
  <c r="C12"/>
  <c r="S11"/>
  <c r="R11"/>
  <c r="C11"/>
  <c r="R10"/>
  <c r="S10" s="1"/>
  <c r="C10"/>
  <c r="O9"/>
  <c r="B9"/>
  <c r="B37" s="1"/>
  <c r="J4" s="1"/>
  <c r="R8"/>
  <c r="S8" s="1"/>
  <c r="C8"/>
  <c r="T7"/>
  <c r="R7"/>
  <c r="D7"/>
  <c r="R6"/>
  <c r="T6" s="1"/>
  <c r="N6"/>
  <c r="D6"/>
  <c r="T5"/>
  <c r="T37" s="1"/>
  <c r="R5"/>
  <c r="D5"/>
  <c r="D37" s="1"/>
  <c r="G37" s="1"/>
  <c r="B14" i="22"/>
  <c r="D12"/>
  <c r="D11"/>
  <c r="D10"/>
  <c r="D9"/>
  <c r="D8"/>
  <c r="C7"/>
  <c r="E6"/>
  <c r="D6"/>
  <c r="D5"/>
  <c r="D14" s="1"/>
  <c r="J4"/>
  <c r="B13" i="21"/>
  <c r="N9"/>
  <c r="T8"/>
  <c r="S8" s="1"/>
  <c r="R8"/>
  <c r="N8"/>
  <c r="C8"/>
  <c r="T7"/>
  <c r="S7" s="1"/>
  <c r="R7"/>
  <c r="N7"/>
  <c r="C7"/>
  <c r="O7" s="1"/>
  <c r="P7" s="1"/>
  <c r="R6"/>
  <c r="P6"/>
  <c r="O6"/>
  <c r="N6"/>
  <c r="E6"/>
  <c r="D6"/>
  <c r="D13" s="1"/>
  <c r="G12" s="1"/>
  <c r="T5"/>
  <c r="R5"/>
  <c r="R19" s="1"/>
  <c r="C5"/>
  <c r="J4"/>
  <c r="K4" s="1"/>
  <c r="O3"/>
  <c r="P3" s="1"/>
  <c r="N3"/>
  <c r="B10" i="20"/>
  <c r="N9"/>
  <c r="N8"/>
  <c r="O7"/>
  <c r="P7" s="1"/>
  <c r="N7"/>
  <c r="N6"/>
  <c r="E6"/>
  <c r="D6"/>
  <c r="D10" s="1"/>
  <c r="C5"/>
  <c r="O9" s="1"/>
  <c r="P9" s="1"/>
  <c r="J4"/>
  <c r="B10" i="19"/>
  <c r="N9" s="1"/>
  <c r="N7"/>
  <c r="N6"/>
  <c r="E6"/>
  <c r="D6"/>
  <c r="D10" s="1"/>
  <c r="G9" s="1"/>
  <c r="C5"/>
  <c r="O7" s="1"/>
  <c r="P7" s="1"/>
  <c r="J4"/>
  <c r="K4" s="1"/>
  <c r="B10" i="18"/>
  <c r="N9"/>
  <c r="N8"/>
  <c r="N7"/>
  <c r="N6"/>
  <c r="E6"/>
  <c r="D6"/>
  <c r="D10" s="1"/>
  <c r="G9" s="1"/>
  <c r="C5"/>
  <c r="O9" s="1"/>
  <c r="P9" s="1"/>
  <c r="J4"/>
  <c r="K4" s="1"/>
  <c r="B13" i="17"/>
  <c r="O9"/>
  <c r="P9" s="1"/>
  <c r="N9"/>
  <c r="O8"/>
  <c r="P8" s="1"/>
  <c r="N8"/>
  <c r="O7"/>
  <c r="P7" s="1"/>
  <c r="N7"/>
  <c r="O6"/>
  <c r="N6"/>
  <c r="P6" s="1"/>
  <c r="P11" s="1"/>
  <c r="E6"/>
  <c r="D6"/>
  <c r="D13" s="1"/>
  <c r="G12" s="1"/>
  <c r="J4"/>
  <c r="N18" i="16"/>
  <c r="N17"/>
  <c r="N16"/>
  <c r="O15"/>
  <c r="P15" s="1"/>
  <c r="N15"/>
  <c r="N9"/>
  <c r="B9"/>
  <c r="D9" s="1"/>
  <c r="N8"/>
  <c r="B8"/>
  <c r="B14" s="1"/>
  <c r="J4" s="1"/>
  <c r="C7"/>
  <c r="O17" s="1"/>
  <c r="P17" s="1"/>
  <c r="N6"/>
  <c r="E6"/>
  <c r="D6"/>
  <c r="T5"/>
  <c r="R5"/>
  <c r="U5" s="1"/>
  <c r="C5"/>
  <c r="O9" s="1"/>
  <c r="P9" s="1"/>
  <c r="B13" i="15"/>
  <c r="N9"/>
  <c r="N8"/>
  <c r="N7"/>
  <c r="N6"/>
  <c r="E6"/>
  <c r="D6"/>
  <c r="D13" s="1"/>
  <c r="G12" s="1"/>
  <c r="C5"/>
  <c r="O9" s="1"/>
  <c r="P9" s="1"/>
  <c r="J4"/>
  <c r="K4" s="1"/>
  <c r="B15" i="14"/>
  <c r="C13"/>
  <c r="C12"/>
  <c r="C11"/>
  <c r="E10"/>
  <c r="S9"/>
  <c r="O16" s="1"/>
  <c r="R9"/>
  <c r="N17" s="1"/>
  <c r="D9"/>
  <c r="S8"/>
  <c r="O9" s="1"/>
  <c r="R8"/>
  <c r="N8" s="1"/>
  <c r="O8"/>
  <c r="E8"/>
  <c r="S7"/>
  <c r="R7"/>
  <c r="T7" s="1"/>
  <c r="O7"/>
  <c r="N7"/>
  <c r="P7" s="1"/>
  <c r="E7"/>
  <c r="S6"/>
  <c r="R6"/>
  <c r="T6" s="1"/>
  <c r="O6"/>
  <c r="P6" s="1"/>
  <c r="N6"/>
  <c r="D6"/>
  <c r="R5"/>
  <c r="N24" s="1"/>
  <c r="D5"/>
  <c r="D15" s="1"/>
  <c r="J4"/>
  <c r="D13" i="13"/>
  <c r="B13"/>
  <c r="G12"/>
  <c r="C11"/>
  <c r="C10"/>
  <c r="C9"/>
  <c r="C8"/>
  <c r="C7"/>
  <c r="T6"/>
  <c r="R6"/>
  <c r="N9" s="1"/>
  <c r="C6"/>
  <c r="O6" s="1"/>
  <c r="T5"/>
  <c r="T15" s="1"/>
  <c r="S5"/>
  <c r="R5"/>
  <c r="R15" s="1"/>
  <c r="C5"/>
  <c r="O9" s="1"/>
  <c r="P9" s="1"/>
  <c r="J4"/>
  <c r="K4" s="1"/>
  <c r="N17" i="12"/>
  <c r="N16"/>
  <c r="N15"/>
  <c r="N14"/>
  <c r="B13"/>
  <c r="C10"/>
  <c r="O17" s="1"/>
  <c r="P17" s="1"/>
  <c r="U9"/>
  <c r="T9"/>
  <c r="S9"/>
  <c r="R9"/>
  <c r="N9"/>
  <c r="C9"/>
  <c r="T8"/>
  <c r="R8"/>
  <c r="N8"/>
  <c r="C8"/>
  <c r="R7"/>
  <c r="C7"/>
  <c r="O6"/>
  <c r="P6" s="1"/>
  <c r="N6"/>
  <c r="E6"/>
  <c r="D6"/>
  <c r="D13" s="1"/>
  <c r="G12" s="1"/>
  <c r="T5"/>
  <c r="R5"/>
  <c r="C5"/>
  <c r="O9" s="1"/>
  <c r="P9" s="1"/>
  <c r="J4"/>
  <c r="O3"/>
  <c r="P3" s="1"/>
  <c r="N3"/>
  <c r="B14" i="11"/>
  <c r="J4" s="1"/>
  <c r="O9"/>
  <c r="N9"/>
  <c r="N8"/>
  <c r="O7"/>
  <c r="P7" s="1"/>
  <c r="N7"/>
  <c r="E7"/>
  <c r="D7"/>
  <c r="N6"/>
  <c r="E6"/>
  <c r="D6"/>
  <c r="D14" s="1"/>
  <c r="C5"/>
  <c r="O8" s="1"/>
  <c r="P8" s="1"/>
  <c r="B14" i="10"/>
  <c r="D12"/>
  <c r="C12"/>
  <c r="C11"/>
  <c r="C10"/>
  <c r="C9"/>
  <c r="C8"/>
  <c r="T7"/>
  <c r="R7"/>
  <c r="C7"/>
  <c r="T6"/>
  <c r="R6"/>
  <c r="O6"/>
  <c r="E6"/>
  <c r="D6"/>
  <c r="D14" s="1"/>
  <c r="G13" s="1"/>
  <c r="R5"/>
  <c r="C5"/>
  <c r="O9" s="1"/>
  <c r="J4"/>
  <c r="B14" i="9"/>
  <c r="N6" s="1"/>
  <c r="P6" s="1"/>
  <c r="C10"/>
  <c r="N9"/>
  <c r="C9"/>
  <c r="O8"/>
  <c r="C8"/>
  <c r="C7"/>
  <c r="R6"/>
  <c r="E6"/>
  <c r="U6" s="1"/>
  <c r="D6"/>
  <c r="D14" s="1"/>
  <c r="G13" s="1"/>
  <c r="T5"/>
  <c r="S5"/>
  <c r="R5"/>
  <c r="R17" s="1"/>
  <c r="C5"/>
  <c r="O6" s="1"/>
  <c r="J4"/>
  <c r="D13" i="8"/>
  <c r="B13"/>
  <c r="G12"/>
  <c r="N9"/>
  <c r="O8"/>
  <c r="P8" s="1"/>
  <c r="N8"/>
  <c r="C8"/>
  <c r="O14" s="1"/>
  <c r="P14" s="1"/>
  <c r="N7"/>
  <c r="C7"/>
  <c r="O17" s="1"/>
  <c r="R6"/>
  <c r="O6"/>
  <c r="P6" s="1"/>
  <c r="N6"/>
  <c r="N14" s="1"/>
  <c r="E6"/>
  <c r="D6"/>
  <c r="T6" s="1"/>
  <c r="R5"/>
  <c r="C5"/>
  <c r="O9" s="1"/>
  <c r="P9" s="1"/>
  <c r="K4"/>
  <c r="J4"/>
  <c r="E6" i="7"/>
  <c r="C6"/>
  <c r="E5"/>
  <c r="E9" s="1"/>
  <c r="C5"/>
  <c r="C4" i="6"/>
  <c r="C74" i="5"/>
  <c r="E72"/>
  <c r="E71"/>
  <c r="E70"/>
  <c r="E69"/>
  <c r="E68"/>
  <c r="E67"/>
  <c r="E66"/>
  <c r="E65"/>
  <c r="E64"/>
  <c r="E63"/>
  <c r="D62"/>
  <c r="D74" s="1"/>
  <c r="E61"/>
  <c r="E60"/>
  <c r="E59"/>
  <c r="E52"/>
  <c r="D52"/>
  <c r="G52" s="1"/>
  <c r="C52"/>
  <c r="E51"/>
  <c r="D51"/>
  <c r="G51" s="1"/>
  <c r="H35" s="1"/>
  <c r="H40" s="1"/>
  <c r="C51"/>
  <c r="F50"/>
  <c r="E50"/>
  <c r="D50"/>
  <c r="C50"/>
  <c r="G50" s="1"/>
  <c r="H34" s="1"/>
  <c r="M45"/>
  <c r="M44"/>
  <c r="M43"/>
  <c r="M42"/>
  <c r="E41"/>
  <c r="F41" s="1"/>
  <c r="D41"/>
  <c r="M40"/>
  <c r="F40"/>
  <c r="E40"/>
  <c r="E39"/>
  <c r="F39" s="1"/>
  <c r="D39"/>
  <c r="E38"/>
  <c r="F38" s="1"/>
  <c r="D38"/>
  <c r="M37"/>
  <c r="L37"/>
  <c r="L38" s="1"/>
  <c r="E37"/>
  <c r="F37" s="1"/>
  <c r="D37"/>
  <c r="M36"/>
  <c r="D36"/>
  <c r="E36" s="1"/>
  <c r="F36" s="1"/>
  <c r="M35"/>
  <c r="E35"/>
  <c r="F35" s="1"/>
  <c r="I35" s="1"/>
  <c r="K35" s="1"/>
  <c r="D35"/>
  <c r="M34"/>
  <c r="D34"/>
  <c r="E34" s="1"/>
  <c r="F34" s="1"/>
  <c r="I34" s="1"/>
  <c r="K34" s="1"/>
  <c r="E30"/>
  <c r="E29"/>
  <c r="E28"/>
  <c r="E27"/>
  <c r="E26"/>
  <c r="E25"/>
  <c r="E24"/>
  <c r="E23"/>
  <c r="E22"/>
  <c r="E21"/>
  <c r="E20"/>
  <c r="E19"/>
  <c r="E18"/>
  <c r="E17"/>
  <c r="E16"/>
  <c r="D16"/>
  <c r="E15"/>
  <c r="D14"/>
  <c r="E14" s="1"/>
  <c r="E13"/>
  <c r="D12"/>
  <c r="E12" s="1"/>
  <c r="E11"/>
  <c r="D10"/>
  <c r="E10" s="1"/>
  <c r="E9"/>
  <c r="E8"/>
  <c r="E7"/>
  <c r="E6"/>
  <c r="E5"/>
  <c r="J12" s="1"/>
  <c r="O32" i="4"/>
  <c r="P32" s="1"/>
  <c r="N32"/>
  <c r="O31"/>
  <c r="P31" s="1"/>
  <c r="N31"/>
  <c r="O30"/>
  <c r="P30" s="1"/>
  <c r="N30"/>
  <c r="O29"/>
  <c r="P29" s="1"/>
  <c r="P35" s="1"/>
  <c r="N29"/>
  <c r="O23"/>
  <c r="P23" s="1"/>
  <c r="N23"/>
  <c r="O22"/>
  <c r="P22" s="1"/>
  <c r="N22"/>
  <c r="O21"/>
  <c r="P21" s="1"/>
  <c r="N21"/>
  <c r="O20"/>
  <c r="N20"/>
  <c r="P20" s="1"/>
  <c r="O14"/>
  <c r="P14" s="1"/>
  <c r="N14"/>
  <c r="O13"/>
  <c r="P13" s="1"/>
  <c r="N13"/>
  <c r="O12"/>
  <c r="P12" s="1"/>
  <c r="N12"/>
  <c r="O11"/>
  <c r="P11" s="1"/>
  <c r="P17" s="1"/>
  <c r="N11"/>
  <c r="B9"/>
  <c r="D7"/>
  <c r="N6"/>
  <c r="O6" s="1"/>
  <c r="D6"/>
  <c r="D5"/>
  <c r="D9" s="1"/>
  <c r="J4"/>
  <c r="D224" i="3"/>
  <c r="D223"/>
  <c r="D222"/>
  <c r="D221"/>
  <c r="D220"/>
  <c r="D219"/>
  <c r="D218"/>
  <c r="D217"/>
  <c r="D216"/>
  <c r="D215"/>
  <c r="D214"/>
  <c r="D213"/>
  <c r="D212"/>
  <c r="D211"/>
  <c r="D210"/>
  <c r="D209"/>
  <c r="D208"/>
  <c r="D207"/>
  <c r="D206"/>
  <c r="D205"/>
  <c r="D204"/>
  <c r="D203"/>
  <c r="D202"/>
  <c r="D201"/>
  <c r="D200"/>
  <c r="D199"/>
  <c r="D198"/>
  <c r="D197"/>
  <c r="D196"/>
  <c r="D195"/>
  <c r="D194"/>
  <c r="D193"/>
  <c r="D192"/>
  <c r="D191"/>
  <c r="D190"/>
  <c r="D189"/>
  <c r="D188"/>
  <c r="D187"/>
  <c r="D186"/>
  <c r="D185"/>
  <c r="D184"/>
  <c r="D183"/>
  <c r="D182"/>
  <c r="D181"/>
  <c r="D180"/>
  <c r="D179"/>
  <c r="D178"/>
  <c r="D177"/>
  <c r="D176"/>
  <c r="D175"/>
  <c r="D174"/>
  <c r="D173"/>
  <c r="D172"/>
  <c r="D171"/>
  <c r="D170"/>
  <c r="D169"/>
  <c r="D168"/>
  <c r="D167"/>
  <c r="D166"/>
  <c r="D165"/>
  <c r="D164"/>
  <c r="D163"/>
  <c r="D162"/>
  <c r="D161"/>
  <c r="D160"/>
  <c r="D159"/>
  <c r="D158"/>
  <c r="D157"/>
  <c r="D156"/>
  <c r="D155"/>
  <c r="D154"/>
  <c r="D153"/>
  <c r="D152"/>
  <c r="D151"/>
  <c r="D150"/>
  <c r="D149"/>
  <c r="D148"/>
  <c r="D147"/>
  <c r="D146"/>
  <c r="D145"/>
  <c r="D144"/>
  <c r="D143"/>
  <c r="D142"/>
  <c r="D141"/>
  <c r="D140"/>
  <c r="D139"/>
  <c r="D138"/>
  <c r="D137"/>
  <c r="D136"/>
  <c r="D135"/>
  <c r="D134"/>
  <c r="D133"/>
  <c r="D132"/>
  <c r="D131"/>
  <c r="D130"/>
  <c r="D129"/>
  <c r="D128"/>
  <c r="D127"/>
  <c r="D126"/>
  <c r="D125"/>
  <c r="D124"/>
  <c r="D123"/>
  <c r="D122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C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N3"/>
  <c r="Y2"/>
  <c r="M68" i="2"/>
  <c r="M67"/>
  <c r="M66"/>
  <c r="N65"/>
  <c r="O65" s="1"/>
  <c r="M65"/>
  <c r="M60"/>
  <c r="M59"/>
  <c r="N57"/>
  <c r="M52"/>
  <c r="M51"/>
  <c r="M49"/>
  <c r="M44"/>
  <c r="M43"/>
  <c r="M42"/>
  <c r="N41"/>
  <c r="O41" s="1"/>
  <c r="M41"/>
  <c r="M36"/>
  <c r="M35"/>
  <c r="C35"/>
  <c r="B35"/>
  <c r="M34"/>
  <c r="C34"/>
  <c r="N33"/>
  <c r="M33"/>
  <c r="O33" s="1"/>
  <c r="D33"/>
  <c r="C33"/>
  <c r="B33"/>
  <c r="C32"/>
  <c r="N49" s="1"/>
  <c r="O49" s="1"/>
  <c r="B31"/>
  <c r="B37" s="1"/>
  <c r="D30"/>
  <c r="T21" s="1"/>
  <c r="S21" s="1"/>
  <c r="B30"/>
  <c r="D29"/>
  <c r="T18" s="1"/>
  <c r="S18" s="1"/>
  <c r="M28"/>
  <c r="D28"/>
  <c r="M27"/>
  <c r="D27"/>
  <c r="M26"/>
  <c r="D26"/>
  <c r="C26" s="1"/>
  <c r="N9" s="1"/>
  <c r="N25"/>
  <c r="M25"/>
  <c r="O25" s="1"/>
  <c r="C25"/>
  <c r="T24"/>
  <c r="S24" s="1"/>
  <c r="R24"/>
  <c r="M73" s="1"/>
  <c r="C24"/>
  <c r="T23"/>
  <c r="R23"/>
  <c r="C23"/>
  <c r="R22"/>
  <c r="C22"/>
  <c r="N43" s="1"/>
  <c r="O43" s="1"/>
  <c r="R21"/>
  <c r="C21"/>
  <c r="N18" s="1"/>
  <c r="O18" s="1"/>
  <c r="M20"/>
  <c r="C20"/>
  <c r="N36" s="1"/>
  <c r="O36" s="1"/>
  <c r="T19"/>
  <c r="S19" s="1"/>
  <c r="R19"/>
  <c r="M50" s="1"/>
  <c r="N19"/>
  <c r="O19" s="1"/>
  <c r="M19"/>
  <c r="C19"/>
  <c r="N28" s="1"/>
  <c r="O28" s="1"/>
  <c r="R18"/>
  <c r="M18"/>
  <c r="D18"/>
  <c r="C18"/>
  <c r="N17" s="1"/>
  <c r="O17" s="1"/>
  <c r="O22" s="1"/>
  <c r="T17"/>
  <c r="S17"/>
  <c r="R17"/>
  <c r="M17"/>
  <c r="C17"/>
  <c r="N20" s="1"/>
  <c r="O20" s="1"/>
  <c r="T16"/>
  <c r="S16" s="1"/>
  <c r="R16"/>
  <c r="D16"/>
  <c r="T15"/>
  <c r="S15" s="1"/>
  <c r="R15"/>
  <c r="D15"/>
  <c r="T14"/>
  <c r="S14" s="1"/>
  <c r="R14"/>
  <c r="D14"/>
  <c r="R13"/>
  <c r="T13" s="1"/>
  <c r="D13"/>
  <c r="R12"/>
  <c r="N12"/>
  <c r="O12" s="1"/>
  <c r="M12"/>
  <c r="D12"/>
  <c r="R11"/>
  <c r="T11" s="1"/>
  <c r="N11"/>
  <c r="O11" s="1"/>
  <c r="M11"/>
  <c r="D11"/>
  <c r="T12" s="1"/>
  <c r="S12" s="1"/>
  <c r="R10"/>
  <c r="T10" s="1"/>
  <c r="N10"/>
  <c r="O10" s="1"/>
  <c r="M10"/>
  <c r="D10"/>
  <c r="R9"/>
  <c r="S9" s="1"/>
  <c r="M9"/>
  <c r="C9"/>
  <c r="R8"/>
  <c r="S8" s="1"/>
  <c r="C8"/>
  <c r="R7"/>
  <c r="S7" s="1"/>
  <c r="C7"/>
  <c r="R6"/>
  <c r="T6" s="1"/>
  <c r="E6"/>
  <c r="D6"/>
  <c r="R5"/>
  <c r="D5"/>
  <c r="C40" i="1"/>
  <c r="D38"/>
  <c r="T21" s="1"/>
  <c r="B38"/>
  <c r="B39" s="1"/>
  <c r="N37"/>
  <c r="C37"/>
  <c r="N36"/>
  <c r="C36"/>
  <c r="N35"/>
  <c r="C35"/>
  <c r="N34"/>
  <c r="C34"/>
  <c r="D33"/>
  <c r="D32"/>
  <c r="D31"/>
  <c r="D30"/>
  <c r="D29"/>
  <c r="C28"/>
  <c r="D27"/>
  <c r="D26"/>
  <c r="T16" s="1"/>
  <c r="D25"/>
  <c r="D24"/>
  <c r="T23"/>
  <c r="S23"/>
  <c r="O37" s="1"/>
  <c r="P37" s="1"/>
  <c r="R23"/>
  <c r="D23"/>
  <c r="C23"/>
  <c r="B23"/>
  <c r="B42" s="1"/>
  <c r="D22"/>
  <c r="R21"/>
  <c r="N21"/>
  <c r="D21"/>
  <c r="T20"/>
  <c r="S20"/>
  <c r="O29" s="1"/>
  <c r="P29" s="1"/>
  <c r="R20"/>
  <c r="N29" s="1"/>
  <c r="N20"/>
  <c r="C20"/>
  <c r="T19"/>
  <c r="S19" s="1"/>
  <c r="R19"/>
  <c r="N19" s="1"/>
  <c r="D19"/>
  <c r="C19"/>
  <c r="O18"/>
  <c r="P18" s="1"/>
  <c r="N18"/>
  <c r="D18"/>
  <c r="C18"/>
  <c r="S17"/>
  <c r="R17"/>
  <c r="D17"/>
  <c r="R16"/>
  <c r="D16"/>
  <c r="T15"/>
  <c r="R15"/>
  <c r="D15"/>
  <c r="T14"/>
  <c r="R14"/>
  <c r="D14"/>
  <c r="T13"/>
  <c r="S13"/>
  <c r="R13"/>
  <c r="N13"/>
  <c r="D13"/>
  <c r="T10" s="1"/>
  <c r="S10" s="1"/>
  <c r="R12"/>
  <c r="T12" s="1"/>
  <c r="N12"/>
  <c r="E12"/>
  <c r="D12"/>
  <c r="R11"/>
  <c r="T11" s="1"/>
  <c r="D11"/>
  <c r="T8" s="1"/>
  <c r="R10"/>
  <c r="O10"/>
  <c r="D10"/>
  <c r="R9"/>
  <c r="T9" s="1"/>
  <c r="D9"/>
  <c r="R8"/>
  <c r="D8"/>
  <c r="T7"/>
  <c r="R7"/>
  <c r="D7"/>
  <c r="T6"/>
  <c r="R6"/>
  <c r="N6"/>
  <c r="O6" s="1"/>
  <c r="D6"/>
  <c r="T5"/>
  <c r="R5"/>
  <c r="D5"/>
  <c r="O3"/>
  <c r="K4" i="12" l="1"/>
  <c r="K4" i="11"/>
  <c r="P9"/>
  <c r="T5" i="10"/>
  <c r="K4"/>
  <c r="T14"/>
  <c r="T6" i="9"/>
  <c r="T17" s="1"/>
  <c r="N7"/>
  <c r="N8"/>
  <c r="P8" s="1"/>
  <c r="N52" i="2"/>
  <c r="O52" s="1"/>
  <c r="N50"/>
  <c r="O50" s="1"/>
  <c r="N51"/>
  <c r="O51" s="1"/>
  <c r="N75"/>
  <c r="N73"/>
  <c r="O73" s="1"/>
  <c r="N76"/>
  <c r="N74"/>
  <c r="O9"/>
  <c r="O14" s="1"/>
  <c r="N4"/>
  <c r="O54"/>
  <c r="O21" i="1"/>
  <c r="P21" s="1"/>
  <c r="O19"/>
  <c r="P19" s="1"/>
  <c r="O20"/>
  <c r="P20" s="1"/>
  <c r="J4"/>
  <c r="J12"/>
  <c r="J13" s="1"/>
  <c r="D39"/>
  <c r="T22"/>
  <c r="T18"/>
  <c r="R18"/>
  <c r="N10"/>
  <c r="P10" s="1"/>
  <c r="R22"/>
  <c r="J4" i="2"/>
  <c r="J7"/>
  <c r="J8" s="1"/>
  <c r="D42" i="1"/>
  <c r="T32"/>
  <c r="R32"/>
  <c r="P23"/>
  <c r="N68" i="2"/>
  <c r="O68" s="1"/>
  <c r="N66"/>
  <c r="O66" s="1"/>
  <c r="E224" i="3"/>
  <c r="E223"/>
  <c r="E222"/>
  <c r="E221"/>
  <c r="E220"/>
  <c r="E219"/>
  <c r="E218"/>
  <c r="E217"/>
  <c r="E216"/>
  <c r="E215"/>
  <c r="E214"/>
  <c r="E213"/>
  <c r="E212"/>
  <c r="E211"/>
  <c r="E210"/>
  <c r="E209"/>
  <c r="E208"/>
  <c r="E207"/>
  <c r="E206"/>
  <c r="E205"/>
  <c r="E204"/>
  <c r="E203"/>
  <c r="E202"/>
  <c r="E201"/>
  <c r="E200"/>
  <c r="E199"/>
  <c r="E198"/>
  <c r="E197"/>
  <c r="E196"/>
  <c r="E195"/>
  <c r="E194"/>
  <c r="E193"/>
  <c r="E192"/>
  <c r="E191"/>
  <c r="E190"/>
  <c r="E189"/>
  <c r="E188"/>
  <c r="E187"/>
  <c r="E186"/>
  <c r="E185"/>
  <c r="E184"/>
  <c r="E183"/>
  <c r="E182"/>
  <c r="E181"/>
  <c r="E180"/>
  <c r="E179"/>
  <c r="E178"/>
  <c r="E177"/>
  <c r="E176"/>
  <c r="E175"/>
  <c r="E174"/>
  <c r="E173"/>
  <c r="E172"/>
  <c r="E171"/>
  <c r="E170"/>
  <c r="E169"/>
  <c r="E168"/>
  <c r="E167"/>
  <c r="E166"/>
  <c r="E165"/>
  <c r="E164"/>
  <c r="E163"/>
  <c r="E162"/>
  <c r="E161"/>
  <c r="E160"/>
  <c r="E159"/>
  <c r="E158"/>
  <c r="E157"/>
  <c r="E156"/>
  <c r="E155"/>
  <c r="E154"/>
  <c r="E153"/>
  <c r="E152"/>
  <c r="E151"/>
  <c r="E150"/>
  <c r="E149"/>
  <c r="E148"/>
  <c r="E147"/>
  <c r="E146"/>
  <c r="E145"/>
  <c r="E144"/>
  <c r="E143"/>
  <c r="E142"/>
  <c r="E141"/>
  <c r="E140"/>
  <c r="E139"/>
  <c r="E138"/>
  <c r="E137"/>
  <c r="E136"/>
  <c r="E135"/>
  <c r="E134"/>
  <c r="E133"/>
  <c r="E132"/>
  <c r="E131"/>
  <c r="E130"/>
  <c r="E129"/>
  <c r="E128"/>
  <c r="E127"/>
  <c r="E126"/>
  <c r="E125"/>
  <c r="E124"/>
  <c r="E123"/>
  <c r="E122"/>
  <c r="E121"/>
  <c r="E120"/>
  <c r="E119"/>
  <c r="E118"/>
  <c r="E117"/>
  <c r="E116"/>
  <c r="E115"/>
  <c r="E114"/>
  <c r="E113"/>
  <c r="E112"/>
  <c r="E111"/>
  <c r="E110"/>
  <c r="E109"/>
  <c r="E108"/>
  <c r="E107"/>
  <c r="E106"/>
  <c r="E105"/>
  <c r="E104"/>
  <c r="E103"/>
  <c r="E102"/>
  <c r="E101"/>
  <c r="E100"/>
  <c r="E99"/>
  <c r="E98"/>
  <c r="E97"/>
  <c r="E96"/>
  <c r="E95"/>
  <c r="E94"/>
  <c r="E93"/>
  <c r="E92"/>
  <c r="E91"/>
  <c r="E90"/>
  <c r="E89"/>
  <c r="E88"/>
  <c r="E87"/>
  <c r="E86"/>
  <c r="E85"/>
  <c r="E84"/>
  <c r="E83"/>
  <c r="E82"/>
  <c r="E81"/>
  <c r="E80"/>
  <c r="E79"/>
  <c r="E78"/>
  <c r="E77"/>
  <c r="E76"/>
  <c r="E75"/>
  <c r="E74"/>
  <c r="E73"/>
  <c r="E72"/>
  <c r="E71"/>
  <c r="E70"/>
  <c r="E69"/>
  <c r="E68"/>
  <c r="E67"/>
  <c r="E66"/>
  <c r="E65"/>
  <c r="E64"/>
  <c r="E63"/>
  <c r="E62"/>
  <c r="E61"/>
  <c r="E60"/>
  <c r="E59"/>
  <c r="L39" i="5"/>
  <c r="M38"/>
  <c r="T5" i="8"/>
  <c r="P6" i="1"/>
  <c r="N26"/>
  <c r="N27"/>
  <c r="N28"/>
  <c r="O34"/>
  <c r="P34" s="1"/>
  <c r="O35"/>
  <c r="P35" s="1"/>
  <c r="O36"/>
  <c r="P36" s="1"/>
  <c r="T5" i="2"/>
  <c r="R20"/>
  <c r="T20"/>
  <c r="D31"/>
  <c r="T22" s="1"/>
  <c r="N34"/>
  <c r="O34" s="1"/>
  <c r="O38" s="1"/>
  <c r="N42"/>
  <c r="O42" s="1"/>
  <c r="O46" s="1"/>
  <c r="N44"/>
  <c r="O44" s="1"/>
  <c r="M57"/>
  <c r="O57" s="1"/>
  <c r="E32" i="3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K4" i="4"/>
  <c r="P26"/>
  <c r="J14" i="5"/>
  <c r="M76" i="2"/>
  <c r="M74"/>
  <c r="H36" i="5"/>
  <c r="I36" s="1"/>
  <c r="K36" s="1"/>
  <c r="H37"/>
  <c r="O26" i="1"/>
  <c r="P26" s="1"/>
  <c r="O27"/>
  <c r="P27" s="1"/>
  <c r="O28"/>
  <c r="P28" s="1"/>
  <c r="N26" i="2"/>
  <c r="O26" s="1"/>
  <c r="O30" s="1"/>
  <c r="N27"/>
  <c r="O27" s="1"/>
  <c r="N35"/>
  <c r="O35" s="1"/>
  <c r="N67"/>
  <c r="O67" s="1"/>
  <c r="O70" s="1"/>
  <c r="M75"/>
  <c r="I37" i="5"/>
  <c r="K37" s="1"/>
  <c r="I40"/>
  <c r="K40" s="1"/>
  <c r="R14" i="10"/>
  <c r="N6"/>
  <c r="T8" i="16"/>
  <c r="D8"/>
  <c r="C8" s="1"/>
  <c r="O6" s="1"/>
  <c r="O8" i="24"/>
  <c r="P8" s="1"/>
  <c r="O6"/>
  <c r="P6" s="1"/>
  <c r="O7"/>
  <c r="G18" i="26"/>
  <c r="K4"/>
  <c r="O16" i="28"/>
  <c r="O17"/>
  <c r="P17" s="1"/>
  <c r="P23"/>
  <c r="O3"/>
  <c r="N3"/>
  <c r="P6" i="32"/>
  <c r="P11" s="1"/>
  <c r="O3"/>
  <c r="N3"/>
  <c r="P6" i="4"/>
  <c r="G8"/>
  <c r="N16" i="8"/>
  <c r="U6"/>
  <c r="N17"/>
  <c r="P17" s="1"/>
  <c r="K4" i="9"/>
  <c r="U5" i="10"/>
  <c r="N8"/>
  <c r="D14" i="16"/>
  <c r="G13" s="1"/>
  <c r="K4"/>
  <c r="K4" i="24"/>
  <c r="T8" i="8"/>
  <c r="T7"/>
  <c r="R7"/>
  <c r="N15" s="1"/>
  <c r="G9" i="20"/>
  <c r="K4"/>
  <c r="O26" i="28"/>
  <c r="O25"/>
  <c r="P25" s="1"/>
  <c r="O24"/>
  <c r="E62" i="5"/>
  <c r="O3" i="8"/>
  <c r="O7"/>
  <c r="P7" s="1"/>
  <c r="P11" s="1"/>
  <c r="R8"/>
  <c r="O16"/>
  <c r="P16" s="1"/>
  <c r="O7" i="9"/>
  <c r="P7" s="1"/>
  <c r="O9"/>
  <c r="P9" s="1"/>
  <c r="P6" i="10"/>
  <c r="S6"/>
  <c r="N7"/>
  <c r="N9"/>
  <c r="P9" s="1"/>
  <c r="G13" i="11"/>
  <c r="T7" i="12"/>
  <c r="K4" i="14"/>
  <c r="P8"/>
  <c r="P11" s="1"/>
  <c r="K4" i="17"/>
  <c r="P11" i="28"/>
  <c r="O7" i="10"/>
  <c r="P7" s="1"/>
  <c r="O8"/>
  <c r="P8" s="1"/>
  <c r="O6" i="11"/>
  <c r="P6" s="1"/>
  <c r="P12" s="1"/>
  <c r="O7" i="12"/>
  <c r="O8"/>
  <c r="P8" s="1"/>
  <c r="O14"/>
  <c r="P14" s="1"/>
  <c r="O16"/>
  <c r="P16" s="1"/>
  <c r="O7" i="13"/>
  <c r="O8"/>
  <c r="T8" i="14"/>
  <c r="N9"/>
  <c r="P9" s="1"/>
  <c r="O14"/>
  <c r="G15"/>
  <c r="O15"/>
  <c r="N16"/>
  <c r="P16" s="1"/>
  <c r="O17"/>
  <c r="P17" s="1"/>
  <c r="N23"/>
  <c r="N25"/>
  <c r="R35"/>
  <c r="O6" i="15"/>
  <c r="P6" s="1"/>
  <c r="O8"/>
  <c r="P8" s="1"/>
  <c r="R7" i="16"/>
  <c r="O8"/>
  <c r="P8" s="1"/>
  <c r="R8"/>
  <c r="O16"/>
  <c r="P16" s="1"/>
  <c r="P21" s="1"/>
  <c r="O18"/>
  <c r="P18" s="1"/>
  <c r="O7" i="18"/>
  <c r="P7" s="1"/>
  <c r="O6" i="19"/>
  <c r="P6" s="1"/>
  <c r="O8"/>
  <c r="O9"/>
  <c r="P9" s="1"/>
  <c r="T6" i="21"/>
  <c r="S6" s="1"/>
  <c r="O8"/>
  <c r="P8" s="1"/>
  <c r="P11" s="1"/>
  <c r="O9"/>
  <c r="P9" s="1"/>
  <c r="E35" i="23"/>
  <c r="T6" i="24"/>
  <c r="T17" s="1"/>
  <c r="O15"/>
  <c r="P15" s="1"/>
  <c r="N16"/>
  <c r="N17"/>
  <c r="P17" s="1"/>
  <c r="O6" i="25"/>
  <c r="O8"/>
  <c r="O9"/>
  <c r="P9" s="1"/>
  <c r="C9" i="26"/>
  <c r="T9"/>
  <c r="V9" s="1"/>
  <c r="N14"/>
  <c r="N15"/>
  <c r="N16"/>
  <c r="N17"/>
  <c r="P17" s="1"/>
  <c r="T22"/>
  <c r="O7" i="27"/>
  <c r="P7" s="1"/>
  <c r="O9"/>
  <c r="P9" s="1"/>
  <c r="D5" i="28"/>
  <c r="D31" s="1"/>
  <c r="G31" s="1"/>
  <c r="N16"/>
  <c r="N26"/>
  <c r="O6" i="29"/>
  <c r="P6" s="1"/>
  <c r="O8"/>
  <c r="P8" s="1"/>
  <c r="O7" i="30"/>
  <c r="P7" s="1"/>
  <c r="O6" i="31"/>
  <c r="O9"/>
  <c r="P9" s="1"/>
  <c r="O7" i="33"/>
  <c r="P7" s="1"/>
  <c r="O6" i="34"/>
  <c r="P6" s="1"/>
  <c r="O8"/>
  <c r="P8" s="1"/>
  <c r="O9"/>
  <c r="P9" s="1"/>
  <c r="U5" i="12"/>
  <c r="R6"/>
  <c r="N7" s="1"/>
  <c r="T6"/>
  <c r="O15"/>
  <c r="P15" s="1"/>
  <c r="N6" i="13"/>
  <c r="P6" s="1"/>
  <c r="N7"/>
  <c r="N8"/>
  <c r="T5" i="14"/>
  <c r="T9"/>
  <c r="N14"/>
  <c r="N15"/>
  <c r="N22"/>
  <c r="O7" i="15"/>
  <c r="P7" s="1"/>
  <c r="R6" i="16"/>
  <c r="N7" s="1"/>
  <c r="T6"/>
  <c r="O6" i="18"/>
  <c r="P6" s="1"/>
  <c r="P11" s="1"/>
  <c r="O8"/>
  <c r="P8" s="1"/>
  <c r="N8" i="19"/>
  <c r="O6" i="20"/>
  <c r="P6" s="1"/>
  <c r="O8"/>
  <c r="P8" s="1"/>
  <c r="S5" i="21"/>
  <c r="C9" i="23"/>
  <c r="O6" s="1"/>
  <c r="P6" s="1"/>
  <c r="R9"/>
  <c r="S9" s="1"/>
  <c r="N7" i="24"/>
  <c r="O14"/>
  <c r="P14" s="1"/>
  <c r="O16"/>
  <c r="P16" s="1"/>
  <c r="K4" i="25"/>
  <c r="N6"/>
  <c r="N8"/>
  <c r="O6" i="26"/>
  <c r="P6" s="1"/>
  <c r="O7"/>
  <c r="P7" s="1"/>
  <c r="O8"/>
  <c r="P8" s="1"/>
  <c r="O14"/>
  <c r="P14" s="1"/>
  <c r="O15"/>
  <c r="P15" s="1"/>
  <c r="O16"/>
  <c r="P16" s="1"/>
  <c r="O6" i="27"/>
  <c r="P6" s="1"/>
  <c r="P11" s="1"/>
  <c r="R5" i="28"/>
  <c r="N24"/>
  <c r="O7" i="29"/>
  <c r="P7" s="1"/>
  <c r="O6" i="30"/>
  <c r="P6" s="1"/>
  <c r="P11" s="1"/>
  <c r="O8"/>
  <c r="P8" s="1"/>
  <c r="S5" i="31"/>
  <c r="O7"/>
  <c r="P7" s="1"/>
  <c r="P11" s="1"/>
  <c r="O6" i="33"/>
  <c r="P6" s="1"/>
  <c r="P11" s="1"/>
  <c r="O8"/>
  <c r="P8" s="1"/>
  <c r="P12" i="9" l="1"/>
  <c r="T5" i="28"/>
  <c r="T33" s="1"/>
  <c r="R33"/>
  <c r="O3" i="31"/>
  <c r="N3"/>
  <c r="H41" i="5"/>
  <c r="I41" s="1"/>
  <c r="K41" s="1"/>
  <c r="H38"/>
  <c r="T13" i="8"/>
  <c r="S5"/>
  <c r="I42" i="1"/>
  <c r="G7"/>
  <c r="M4" i="2"/>
  <c r="O4" s="1"/>
  <c r="P19" i="26"/>
  <c r="P20" i="24"/>
  <c r="P11" i="20"/>
  <c r="S6" i="16"/>
  <c r="O7" s="1"/>
  <c r="P7" s="1"/>
  <c r="S6" i="12"/>
  <c r="P6" i="25"/>
  <c r="P8" i="19"/>
  <c r="P11" i="15"/>
  <c r="P15" i="14"/>
  <c r="P14"/>
  <c r="P19" s="1"/>
  <c r="P7" i="13"/>
  <c r="P12" s="1"/>
  <c r="P19" i="12"/>
  <c r="P7"/>
  <c r="P11" s="1"/>
  <c r="R13"/>
  <c r="K4" i="28"/>
  <c r="P3"/>
  <c r="P7" i="24"/>
  <c r="S8" i="16"/>
  <c r="S20" i="2"/>
  <c r="T36"/>
  <c r="S18" i="1"/>
  <c r="K4"/>
  <c r="D37" i="2"/>
  <c r="G36" s="1"/>
  <c r="O74"/>
  <c r="T35" i="14"/>
  <c r="S5"/>
  <c r="P3" i="8"/>
  <c r="N3"/>
  <c r="N3" i="16"/>
  <c r="P6"/>
  <c r="O3"/>
  <c r="P3" s="1"/>
  <c r="L41" i="5"/>
  <c r="M41" s="1"/>
  <c r="M39"/>
  <c r="M46" s="1"/>
  <c r="P11" i="26"/>
  <c r="P11" i="34"/>
  <c r="P11" i="29"/>
  <c r="P8" i="25"/>
  <c r="P11" i="19"/>
  <c r="R13" i="16"/>
  <c r="P8" i="13"/>
  <c r="R37" i="23"/>
  <c r="P11" i="10"/>
  <c r="P24" i="28"/>
  <c r="P26"/>
  <c r="S7" i="8"/>
  <c r="O15" s="1"/>
  <c r="P15" s="1"/>
  <c r="P19" s="1"/>
  <c r="T19" i="21"/>
  <c r="T13" i="12"/>
  <c r="R13" i="8"/>
  <c r="P3" i="32"/>
  <c r="P28" i="28"/>
  <c r="P16"/>
  <c r="P19" s="1"/>
  <c r="P11" i="24"/>
  <c r="P31" i="1"/>
  <c r="M58" i="2"/>
  <c r="P39" i="1"/>
  <c r="R36" i="2"/>
  <c r="N11" i="1"/>
  <c r="N3"/>
  <c r="P3" s="1"/>
  <c r="O76" i="2"/>
  <c r="O75"/>
  <c r="O78" s="1"/>
  <c r="P12" i="16" l="1"/>
  <c r="T7"/>
  <c r="T13" s="1"/>
  <c r="O25" i="14"/>
  <c r="P25" s="1"/>
  <c r="O23"/>
  <c r="P23" s="1"/>
  <c r="O24"/>
  <c r="P24" s="1"/>
  <c r="O22"/>
  <c r="P22" s="1"/>
  <c r="P27" s="1"/>
  <c r="O12" i="1"/>
  <c r="P12" s="1"/>
  <c r="O11"/>
  <c r="P11" s="1"/>
  <c r="P15" s="1"/>
  <c r="O13"/>
  <c r="P13" s="1"/>
  <c r="N59" i="2"/>
  <c r="O59" s="1"/>
  <c r="N60"/>
  <c r="O60" s="1"/>
  <c r="N58"/>
  <c r="O58" s="1"/>
  <c r="O62" s="1"/>
  <c r="H39" i="5"/>
  <c r="I39" s="1"/>
  <c r="K39" s="1"/>
  <c r="I38"/>
  <c r="K38" s="1"/>
  <c r="J13" s="1"/>
  <c r="K4" i="2"/>
  <c r="P11" i="25"/>
  <c r="K14" i="5"/>
  <c r="P3" i="31"/>
  <c r="O46" i="5" l="1"/>
  <c r="P46" s="1"/>
  <c r="J15"/>
  <c r="J16" s="1"/>
</calcChain>
</file>

<file path=xl/sharedStrings.xml><?xml version="1.0" encoding="utf-8"?>
<sst xmlns="http://schemas.openxmlformats.org/spreadsheetml/2006/main" count="717" uniqueCount="84">
  <si>
    <t>Qty to Buy</t>
  </si>
  <si>
    <t>Token Price</t>
  </si>
  <si>
    <t>Value</t>
  </si>
  <si>
    <t>Actual Price :</t>
  </si>
  <si>
    <t>Objectif :</t>
  </si>
  <si>
    <t>Qty</t>
  </si>
  <si>
    <t>Price</t>
  </si>
  <si>
    <t>Total price</t>
  </si>
  <si>
    <t>Total :</t>
  </si>
  <si>
    <t>Moy</t>
  </si>
  <si>
    <t>DCA1</t>
  </si>
  <si>
    <t>Objectif</t>
  </si>
  <si>
    <t>Done</t>
  </si>
  <si>
    <t>Difference</t>
  </si>
  <si>
    <t>Diff in $</t>
  </si>
  <si>
    <t>DCA2</t>
  </si>
  <si>
    <t>DCA2 1/5</t>
  </si>
  <si>
    <t>DCA1 1/5</t>
  </si>
  <si>
    <t>DCA3</t>
  </si>
  <si>
    <t>15.6</t>
  </si>
  <si>
    <t>105</t>
  </si>
  <si>
    <t>43.5</t>
  </si>
  <si>
    <t>DCA 3</t>
  </si>
  <si>
    <t>DFI Coef</t>
  </si>
  <si>
    <t>BTC Coef</t>
  </si>
  <si>
    <t>Worth to Date</t>
  </si>
  <si>
    <t>Assets worth</t>
  </si>
  <si>
    <t>DFI * Coef</t>
  </si>
  <si>
    <t>BTC * Coef</t>
  </si>
  <si>
    <t>Qty to Sell</t>
  </si>
  <si>
    <t>Day :</t>
  </si>
  <si>
    <t>Investiment</t>
  </si>
  <si>
    <t>Atlas Price :</t>
  </si>
  <si>
    <t>Fee</t>
  </si>
  <si>
    <t>Total</t>
  </si>
  <si>
    <t>Comment</t>
  </si>
  <si>
    <t>Food Price :</t>
  </si>
  <si>
    <t>Atlas</t>
  </si>
  <si>
    <t>%</t>
  </si>
  <si>
    <t>Pearce X5</t>
  </si>
  <si>
    <t>Buy</t>
  </si>
  <si>
    <t>Ammunition Price :</t>
  </si>
  <si>
    <t>Pearce X4</t>
  </si>
  <si>
    <t>Fuel Price :</t>
  </si>
  <si>
    <t>Opal Jet</t>
  </si>
  <si>
    <t>Toolkit price :</t>
  </si>
  <si>
    <t>Power Plant</t>
  </si>
  <si>
    <t>Sell</t>
  </si>
  <si>
    <t>Total Investiment</t>
  </si>
  <si>
    <t>Total Stack gain</t>
  </si>
  <si>
    <t>Trade gain</t>
  </si>
  <si>
    <t>Total with NFT</t>
  </si>
  <si>
    <t>Buy x2</t>
  </si>
  <si>
    <t>Scoore</t>
  </si>
  <si>
    <t>Today Price</t>
  </si>
  <si>
    <t>Total with Qty</t>
  </si>
  <si>
    <t>Atlas/Day</t>
  </si>
  <si>
    <t>Days</t>
  </si>
  <si>
    <t>Total Prévisionelle</t>
  </si>
  <si>
    <t>Total Reel</t>
  </si>
  <si>
    <t>Claim fee</t>
  </si>
  <si>
    <t>Maintenance</t>
  </si>
  <si>
    <t>Gain unitaire($)</t>
  </si>
  <si>
    <t>Total Gain</t>
  </si>
  <si>
    <t>Sold</t>
  </si>
  <si>
    <t>RedX-IV</t>
  </si>
  <si>
    <t>Suntiger</t>
  </si>
  <si>
    <t>Blue Tigu</t>
  </si>
  <si>
    <t>Food/day</t>
  </si>
  <si>
    <t>Ammunition/day</t>
  </si>
  <si>
    <t>Fuel/day</t>
  </si>
  <si>
    <t>Toolkit/day</t>
  </si>
  <si>
    <t>Total in atlas / day</t>
  </si>
  <si>
    <t>Retrait</t>
  </si>
  <si>
    <t>Star Atlas</t>
  </si>
  <si>
    <t>USDC</t>
  </si>
  <si>
    <t>21/12/2021</t>
  </si>
  <si>
    <t>Assets</t>
  </si>
  <si>
    <t>Bomb</t>
  </si>
  <si>
    <t>Fico</t>
  </si>
  <si>
    <t>DCA4</t>
  </si>
  <si>
    <t>Learn</t>
  </si>
  <si>
    <t>NFT Burn</t>
  </si>
  <si>
    <t>DCA1 2/5</t>
  </si>
</sst>
</file>

<file path=xl/styles.xml><?xml version="1.0" encoding="utf-8"?>
<styleSheet xmlns="http://schemas.openxmlformats.org/spreadsheetml/2006/main">
  <numFmts count="13">
    <numFmt numFmtId="44" formatCode="_(&quot;$&quot;* #,##0.00_);_(&quot;$&quot;* \(#,##0.00\);_(&quot;$&quot;* &quot;-&quot;??_);_(@_)"/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0.0000000"/>
    <numFmt numFmtId="172" formatCode="_(&quot;$&quot;* #,##0.00000_);_(&quot;$&quot;* \(#,##0.00000\);_(&quot;$&quot;* &quot;-&quot;??_);_(@_)"/>
    <numFmt numFmtId="173" formatCode="0.000000"/>
    <numFmt numFmtId="174" formatCode="_(&quot;$&quot;* #,##0.0000_);_(&quot;$&quot;* \(#,##0.0000\);_(&quot;$&quot;* &quot;-&quot;??_);_(@_)"/>
    <numFmt numFmtId="175" formatCode="_(&quot;$&quot;* #,##0.0000000_);_(&quot;$&quot;* \(#,##0.0000000\);_(&quot;$&quot;* &quot;-&quot;??_);_(@_)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 Unicode MS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1" fillId="0" borderId="0"/>
    <xf numFmtId="9" fontId="1" fillId="0" borderId="0"/>
  </cellStyleXfs>
  <cellXfs count="51">
    <xf numFmtId="0" fontId="0" fillId="0" borderId="0" xfId="0"/>
    <xf numFmtId="164" fontId="0" fillId="0" borderId="0" xfId="0" applyNumberFormat="1"/>
    <xf numFmtId="164" fontId="0" fillId="2" borderId="0" xfId="0" applyNumberFormat="1" applyFill="1"/>
    <xf numFmtId="14" fontId="0" fillId="0" borderId="0" xfId="0" applyNumberFormat="1"/>
    <xf numFmtId="9" fontId="0" fillId="0" borderId="0" xfId="2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 applyAlignment="1">
      <alignment horizontal="left"/>
    </xf>
    <xf numFmtId="0" fontId="0" fillId="0" borderId="0" xfId="0"/>
    <xf numFmtId="0" fontId="0" fillId="3" borderId="4" xfId="0" applyFill="1" applyBorder="1"/>
    <xf numFmtId="0" fontId="0" fillId="3" borderId="0" xfId="0" applyFill="1"/>
    <xf numFmtId="0" fontId="0" fillId="3" borderId="0" xfId="1" applyNumberFormat="1" applyFont="1" applyFill="1"/>
    <xf numFmtId="0" fontId="2" fillId="0" borderId="1" xfId="0" applyFont="1" applyBorder="1" applyAlignment="1">
      <alignment horizontal="left"/>
    </xf>
    <xf numFmtId="2" fontId="0" fillId="0" borderId="0" xfId="0" applyNumberFormat="1"/>
    <xf numFmtId="2" fontId="0" fillId="2" borderId="0" xfId="0" applyNumberFormat="1" applyFill="1"/>
    <xf numFmtId="0" fontId="0" fillId="0" borderId="0" xfId="1" applyNumberFormat="1" applyFont="1"/>
    <xf numFmtId="1" fontId="0" fillId="0" borderId="0" xfId="0" applyNumberFormat="1"/>
    <xf numFmtId="165" fontId="0" fillId="0" borderId="0" xfId="0" applyNumberFormat="1"/>
    <xf numFmtId="166" fontId="0" fillId="0" borderId="0" xfId="0" applyNumberFormat="1"/>
    <xf numFmtId="166" fontId="0" fillId="2" borderId="0" xfId="0" applyNumberFormat="1" applyFill="1"/>
    <xf numFmtId="165" fontId="0" fillId="2" borderId="0" xfId="0" applyNumberFormat="1" applyFill="1"/>
    <xf numFmtId="167" fontId="0" fillId="0" borderId="0" xfId="0" applyNumberFormat="1"/>
    <xf numFmtId="168" fontId="0" fillId="0" borderId="0" xfId="1" applyNumberFormat="1" applyFont="1"/>
    <xf numFmtId="169" fontId="0" fillId="0" borderId="0" xfId="0" applyNumberFormat="1"/>
    <xf numFmtId="169" fontId="0" fillId="0" borderId="0" xfId="1" applyNumberFormat="1" applyFont="1"/>
    <xf numFmtId="165" fontId="0" fillId="0" borderId="0" xfId="2" applyNumberFormat="1" applyFont="1"/>
    <xf numFmtId="169" fontId="0" fillId="3" borderId="0" xfId="1" applyNumberFormat="1" applyFont="1" applyFill="1"/>
    <xf numFmtId="165" fontId="0" fillId="3" borderId="0" xfId="2" applyNumberFormat="1" applyFont="1" applyFill="1"/>
    <xf numFmtId="169" fontId="0" fillId="0" borderId="5" xfId="0" applyNumberFormat="1" applyBorder="1"/>
    <xf numFmtId="170" fontId="0" fillId="0" borderId="0" xfId="1" applyNumberFormat="1" applyFont="1"/>
    <xf numFmtId="169" fontId="0" fillId="2" borderId="0" xfId="0" applyNumberFormat="1" applyFill="1"/>
    <xf numFmtId="44" fontId="0" fillId="0" borderId="0" xfId="1" applyFont="1"/>
    <xf numFmtId="44" fontId="0" fillId="0" borderId="0" xfId="0" applyNumberFormat="1"/>
    <xf numFmtId="44" fontId="0" fillId="2" borderId="0" xfId="1" applyFont="1" applyFill="1"/>
    <xf numFmtId="44" fontId="0" fillId="0" borderId="7" xfId="1" applyFont="1" applyBorder="1"/>
    <xf numFmtId="44" fontId="0" fillId="0" borderId="5" xfId="0" applyNumberFormat="1" applyBorder="1"/>
    <xf numFmtId="44" fontId="0" fillId="3" borderId="0" xfId="1" applyFont="1" applyFill="1"/>
    <xf numFmtId="44" fontId="0" fillId="3" borderId="5" xfId="0" applyNumberFormat="1" applyFill="1" applyBorder="1"/>
    <xf numFmtId="44" fontId="0" fillId="0" borderId="5" xfId="1" applyFont="1" applyBorder="1"/>
    <xf numFmtId="171" fontId="0" fillId="0" borderId="0" xfId="0" applyNumberFormat="1"/>
    <xf numFmtId="172" fontId="0" fillId="0" borderId="0" xfId="1" applyNumberFormat="1" applyFont="1"/>
    <xf numFmtId="173" fontId="0" fillId="0" borderId="0" xfId="0" applyNumberFormat="1"/>
    <xf numFmtId="174" fontId="0" fillId="0" borderId="0" xfId="1" applyNumberFormat="1" applyFont="1"/>
    <xf numFmtId="174" fontId="0" fillId="0" borderId="0" xfId="0" applyNumberFormat="1"/>
    <xf numFmtId="175" fontId="0" fillId="0" borderId="0" xfId="1" applyNumberFormat="1" applyFont="1"/>
  </cellXfs>
  <cellStyles count="3">
    <cellStyle name="Monétaire" xfId="1" builtinId="4"/>
    <cellStyle name="Normal" xfId="0" builtinId="0"/>
    <cellStyle name="Pourcentage" xfId="2" builtinId="5"/>
  </cellStyles>
  <dxfs count="336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DefiCake!$C$31</c:f>
              <c:strCache>
                <c:ptCount val="1"/>
                <c:pt idx="0">
                  <c:v>Assets worth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DefiCake!$B$32:$B$340</c:f>
              <c:numCache>
                <c:formatCode>dd/mm/yy;@</c:formatCode>
                <c:ptCount val="309"/>
                <c:pt idx="0">
                  <c:v>44537</c:v>
                </c:pt>
                <c:pt idx="1">
                  <c:v>44538</c:v>
                </c:pt>
                <c:pt idx="2">
                  <c:v>44539</c:v>
                </c:pt>
                <c:pt idx="3">
                  <c:v>44540</c:v>
                </c:pt>
                <c:pt idx="4">
                  <c:v>44541</c:v>
                </c:pt>
                <c:pt idx="5">
                  <c:v>44542</c:v>
                </c:pt>
                <c:pt idx="6">
                  <c:v>44543</c:v>
                </c:pt>
                <c:pt idx="7">
                  <c:v>44544</c:v>
                </c:pt>
                <c:pt idx="8">
                  <c:v>44545</c:v>
                </c:pt>
                <c:pt idx="9">
                  <c:v>44546</c:v>
                </c:pt>
                <c:pt idx="10">
                  <c:v>44547</c:v>
                </c:pt>
                <c:pt idx="11">
                  <c:v>44548</c:v>
                </c:pt>
                <c:pt idx="12">
                  <c:v>44549</c:v>
                </c:pt>
                <c:pt idx="13">
                  <c:v>44550</c:v>
                </c:pt>
                <c:pt idx="14">
                  <c:v>44551</c:v>
                </c:pt>
                <c:pt idx="15">
                  <c:v>44552</c:v>
                </c:pt>
                <c:pt idx="16">
                  <c:v>44553</c:v>
                </c:pt>
                <c:pt idx="17">
                  <c:v>44554</c:v>
                </c:pt>
                <c:pt idx="18">
                  <c:v>44555</c:v>
                </c:pt>
                <c:pt idx="19">
                  <c:v>44556</c:v>
                </c:pt>
                <c:pt idx="20">
                  <c:v>44557</c:v>
                </c:pt>
                <c:pt idx="21">
                  <c:v>44558</c:v>
                </c:pt>
                <c:pt idx="22">
                  <c:v>44559</c:v>
                </c:pt>
                <c:pt idx="23">
                  <c:v>44560</c:v>
                </c:pt>
                <c:pt idx="24">
                  <c:v>44561</c:v>
                </c:pt>
                <c:pt idx="25">
                  <c:v>44562</c:v>
                </c:pt>
                <c:pt idx="26">
                  <c:v>44563</c:v>
                </c:pt>
                <c:pt idx="27">
                  <c:v>44564</c:v>
                </c:pt>
                <c:pt idx="28">
                  <c:v>44565</c:v>
                </c:pt>
                <c:pt idx="29">
                  <c:v>44566</c:v>
                </c:pt>
                <c:pt idx="30">
                  <c:v>44567</c:v>
                </c:pt>
                <c:pt idx="31">
                  <c:v>44568</c:v>
                </c:pt>
                <c:pt idx="32">
                  <c:v>44569</c:v>
                </c:pt>
                <c:pt idx="33">
                  <c:v>44570</c:v>
                </c:pt>
                <c:pt idx="34">
                  <c:v>44571</c:v>
                </c:pt>
                <c:pt idx="35">
                  <c:v>44572</c:v>
                </c:pt>
                <c:pt idx="36">
                  <c:v>44573</c:v>
                </c:pt>
                <c:pt idx="37">
                  <c:v>44574</c:v>
                </c:pt>
                <c:pt idx="38">
                  <c:v>44575</c:v>
                </c:pt>
                <c:pt idx="39">
                  <c:v>44576</c:v>
                </c:pt>
                <c:pt idx="40">
                  <c:v>44577</c:v>
                </c:pt>
                <c:pt idx="41">
                  <c:v>44578</c:v>
                </c:pt>
                <c:pt idx="42">
                  <c:v>44579</c:v>
                </c:pt>
                <c:pt idx="43">
                  <c:v>44580</c:v>
                </c:pt>
                <c:pt idx="44">
                  <c:v>44581</c:v>
                </c:pt>
                <c:pt idx="45">
                  <c:v>44582</c:v>
                </c:pt>
                <c:pt idx="46">
                  <c:v>44583</c:v>
                </c:pt>
                <c:pt idx="47">
                  <c:v>44584</c:v>
                </c:pt>
                <c:pt idx="48">
                  <c:v>44585</c:v>
                </c:pt>
                <c:pt idx="49">
                  <c:v>44586</c:v>
                </c:pt>
                <c:pt idx="50">
                  <c:v>44587</c:v>
                </c:pt>
                <c:pt idx="51">
                  <c:v>44588</c:v>
                </c:pt>
                <c:pt idx="52">
                  <c:v>44589</c:v>
                </c:pt>
                <c:pt idx="53">
                  <c:v>44590</c:v>
                </c:pt>
                <c:pt idx="54">
                  <c:v>44591</c:v>
                </c:pt>
                <c:pt idx="55">
                  <c:v>44592</c:v>
                </c:pt>
                <c:pt idx="56">
                  <c:v>44593</c:v>
                </c:pt>
                <c:pt idx="57">
                  <c:v>44594</c:v>
                </c:pt>
                <c:pt idx="58">
                  <c:v>44595</c:v>
                </c:pt>
                <c:pt idx="59">
                  <c:v>44596</c:v>
                </c:pt>
                <c:pt idx="60">
                  <c:v>44597</c:v>
                </c:pt>
                <c:pt idx="61">
                  <c:v>44598</c:v>
                </c:pt>
                <c:pt idx="62">
                  <c:v>44599</c:v>
                </c:pt>
                <c:pt idx="63">
                  <c:v>44600</c:v>
                </c:pt>
                <c:pt idx="64">
                  <c:v>44601</c:v>
                </c:pt>
                <c:pt idx="65">
                  <c:v>44602</c:v>
                </c:pt>
                <c:pt idx="66">
                  <c:v>44603</c:v>
                </c:pt>
                <c:pt idx="67">
                  <c:v>44604</c:v>
                </c:pt>
                <c:pt idx="68">
                  <c:v>44605</c:v>
                </c:pt>
                <c:pt idx="69">
                  <c:v>44606</c:v>
                </c:pt>
                <c:pt idx="70">
                  <c:v>44607</c:v>
                </c:pt>
                <c:pt idx="71">
                  <c:v>44608</c:v>
                </c:pt>
                <c:pt idx="72">
                  <c:v>44609</c:v>
                </c:pt>
                <c:pt idx="73">
                  <c:v>44610</c:v>
                </c:pt>
                <c:pt idx="74">
                  <c:v>44611</c:v>
                </c:pt>
                <c:pt idx="75">
                  <c:v>44612</c:v>
                </c:pt>
                <c:pt idx="76">
                  <c:v>44613</c:v>
                </c:pt>
                <c:pt idx="77">
                  <c:v>44614</c:v>
                </c:pt>
                <c:pt idx="78">
                  <c:v>44630</c:v>
                </c:pt>
                <c:pt idx="79">
                  <c:v>44639</c:v>
                </c:pt>
                <c:pt idx="80">
                  <c:v>44649</c:v>
                </c:pt>
                <c:pt idx="81">
                  <c:v>44653</c:v>
                </c:pt>
                <c:pt idx="82">
                  <c:v>44657</c:v>
                </c:pt>
                <c:pt idx="83">
                  <c:v>44660</c:v>
                </c:pt>
                <c:pt idx="84">
                  <c:v>44662</c:v>
                </c:pt>
                <c:pt idx="85">
                  <c:v>44665</c:v>
                </c:pt>
                <c:pt idx="86">
                  <c:v>44667</c:v>
                </c:pt>
                <c:pt idx="87">
                  <c:v>44669</c:v>
                </c:pt>
                <c:pt idx="88">
                  <c:v>44670</c:v>
                </c:pt>
                <c:pt idx="89">
                  <c:v>44671</c:v>
                </c:pt>
                <c:pt idx="90">
                  <c:v>44672</c:v>
                </c:pt>
                <c:pt idx="91">
                  <c:v>44698</c:v>
                </c:pt>
                <c:pt idx="92">
                  <c:v>44731</c:v>
                </c:pt>
                <c:pt idx="93">
                  <c:v>44732</c:v>
                </c:pt>
                <c:pt idx="94">
                  <c:v>44734</c:v>
                </c:pt>
                <c:pt idx="95">
                  <c:v>44739</c:v>
                </c:pt>
                <c:pt idx="96">
                  <c:v>44741</c:v>
                </c:pt>
                <c:pt idx="97">
                  <c:v>44743</c:v>
                </c:pt>
                <c:pt idx="98">
                  <c:v>44745</c:v>
                </c:pt>
                <c:pt idx="99">
                  <c:v>44748</c:v>
                </c:pt>
                <c:pt idx="100">
                  <c:v>44751</c:v>
                </c:pt>
                <c:pt idx="101">
                  <c:v>44752</c:v>
                </c:pt>
                <c:pt idx="102">
                  <c:v>44754</c:v>
                </c:pt>
                <c:pt idx="103">
                  <c:v>44756</c:v>
                </c:pt>
                <c:pt idx="104">
                  <c:v>44757</c:v>
                </c:pt>
                <c:pt idx="105">
                  <c:v>44758</c:v>
                </c:pt>
                <c:pt idx="106">
                  <c:v>44760</c:v>
                </c:pt>
                <c:pt idx="107">
                  <c:v>44761</c:v>
                </c:pt>
                <c:pt idx="108">
                  <c:v>44764</c:v>
                </c:pt>
                <c:pt idx="109">
                  <c:v>44770</c:v>
                </c:pt>
                <c:pt idx="110">
                  <c:v>44772</c:v>
                </c:pt>
                <c:pt idx="111">
                  <c:v>44774</c:v>
                </c:pt>
                <c:pt idx="112">
                  <c:v>44778</c:v>
                </c:pt>
                <c:pt idx="113">
                  <c:v>44780</c:v>
                </c:pt>
                <c:pt idx="114">
                  <c:v>44781</c:v>
                </c:pt>
                <c:pt idx="115">
                  <c:v>44783</c:v>
                </c:pt>
                <c:pt idx="116">
                  <c:v>44784</c:v>
                </c:pt>
                <c:pt idx="117">
                  <c:v>44787</c:v>
                </c:pt>
                <c:pt idx="118">
                  <c:v>44791</c:v>
                </c:pt>
                <c:pt idx="119">
                  <c:v>44795</c:v>
                </c:pt>
                <c:pt idx="120">
                  <c:v>44796</c:v>
                </c:pt>
                <c:pt idx="121">
                  <c:v>44797</c:v>
                </c:pt>
                <c:pt idx="122">
                  <c:v>44799</c:v>
                </c:pt>
                <c:pt idx="123">
                  <c:v>44804</c:v>
                </c:pt>
                <c:pt idx="124">
                  <c:v>44808</c:v>
                </c:pt>
                <c:pt idx="125">
                  <c:v>44809</c:v>
                </c:pt>
                <c:pt idx="126">
                  <c:v>44811</c:v>
                </c:pt>
                <c:pt idx="127">
                  <c:v>44813</c:v>
                </c:pt>
                <c:pt idx="128">
                  <c:v>44817</c:v>
                </c:pt>
                <c:pt idx="129">
                  <c:v>44819</c:v>
                </c:pt>
                <c:pt idx="130">
                  <c:v>44820</c:v>
                </c:pt>
                <c:pt idx="131">
                  <c:v>44822</c:v>
                </c:pt>
                <c:pt idx="132">
                  <c:v>44825</c:v>
                </c:pt>
                <c:pt idx="133">
                  <c:v>44829</c:v>
                </c:pt>
                <c:pt idx="134">
                  <c:v>44834</c:v>
                </c:pt>
                <c:pt idx="135">
                  <c:v>44835</c:v>
                </c:pt>
                <c:pt idx="136">
                  <c:v>44838</c:v>
                </c:pt>
                <c:pt idx="137">
                  <c:v>44840</c:v>
                </c:pt>
                <c:pt idx="138">
                  <c:v>44844</c:v>
                </c:pt>
                <c:pt idx="139">
                  <c:v>44853</c:v>
                </c:pt>
                <c:pt idx="140">
                  <c:v>44861</c:v>
                </c:pt>
                <c:pt idx="141">
                  <c:v>44864</c:v>
                </c:pt>
                <c:pt idx="142">
                  <c:v>44866</c:v>
                </c:pt>
                <c:pt idx="143">
                  <c:v>44870</c:v>
                </c:pt>
                <c:pt idx="144">
                  <c:v>44873</c:v>
                </c:pt>
                <c:pt idx="145">
                  <c:v>44878</c:v>
                </c:pt>
                <c:pt idx="146">
                  <c:v>44880</c:v>
                </c:pt>
                <c:pt idx="147">
                  <c:v>44887</c:v>
                </c:pt>
                <c:pt idx="148">
                  <c:v>44891</c:v>
                </c:pt>
                <c:pt idx="149">
                  <c:v>44896</c:v>
                </c:pt>
                <c:pt idx="150">
                  <c:v>44902</c:v>
                </c:pt>
                <c:pt idx="151">
                  <c:v>44907</c:v>
                </c:pt>
                <c:pt idx="152">
                  <c:v>44909</c:v>
                </c:pt>
                <c:pt idx="153">
                  <c:v>44912</c:v>
                </c:pt>
                <c:pt idx="154">
                  <c:v>44915</c:v>
                </c:pt>
                <c:pt idx="155">
                  <c:v>44928</c:v>
                </c:pt>
                <c:pt idx="156">
                  <c:v>44935</c:v>
                </c:pt>
                <c:pt idx="157">
                  <c:v>44936</c:v>
                </c:pt>
                <c:pt idx="158">
                  <c:v>44937</c:v>
                </c:pt>
                <c:pt idx="159">
                  <c:v>44938</c:v>
                </c:pt>
                <c:pt idx="160">
                  <c:v>44939</c:v>
                </c:pt>
                <c:pt idx="161">
                  <c:v>44941</c:v>
                </c:pt>
                <c:pt idx="162">
                  <c:v>44943</c:v>
                </c:pt>
                <c:pt idx="163">
                  <c:v>44947</c:v>
                </c:pt>
                <c:pt idx="164">
                  <c:v>44952</c:v>
                </c:pt>
                <c:pt idx="165">
                  <c:v>44955</c:v>
                </c:pt>
                <c:pt idx="166">
                  <c:v>44958</c:v>
                </c:pt>
                <c:pt idx="167">
                  <c:v>44960</c:v>
                </c:pt>
                <c:pt idx="168">
                  <c:v>44963</c:v>
                </c:pt>
                <c:pt idx="169">
                  <c:v>44965</c:v>
                </c:pt>
                <c:pt idx="170">
                  <c:v>44967</c:v>
                </c:pt>
                <c:pt idx="171">
                  <c:v>44969</c:v>
                </c:pt>
                <c:pt idx="172">
                  <c:v>44971</c:v>
                </c:pt>
                <c:pt idx="173">
                  <c:v>44972</c:v>
                </c:pt>
                <c:pt idx="174">
                  <c:v>44973</c:v>
                </c:pt>
                <c:pt idx="175">
                  <c:v>44978</c:v>
                </c:pt>
                <c:pt idx="176">
                  <c:v>44980</c:v>
                </c:pt>
                <c:pt idx="177">
                  <c:v>44985</c:v>
                </c:pt>
                <c:pt idx="178">
                  <c:v>44990</c:v>
                </c:pt>
                <c:pt idx="179">
                  <c:v>44993</c:v>
                </c:pt>
                <c:pt idx="180">
                  <c:v>44998</c:v>
                </c:pt>
                <c:pt idx="181">
                  <c:v>44999</c:v>
                </c:pt>
                <c:pt idx="182">
                  <c:v>45005</c:v>
                </c:pt>
                <c:pt idx="183">
                  <c:v>45007</c:v>
                </c:pt>
                <c:pt idx="184">
                  <c:v>45011</c:v>
                </c:pt>
                <c:pt idx="185">
                  <c:v>45015</c:v>
                </c:pt>
                <c:pt idx="186">
                  <c:v>45020</c:v>
                </c:pt>
                <c:pt idx="187">
                  <c:v>45026</c:v>
                </c:pt>
                <c:pt idx="188">
                  <c:v>45029</c:v>
                </c:pt>
                <c:pt idx="189">
                  <c:v>45033</c:v>
                </c:pt>
                <c:pt idx="190">
                  <c:v>45043</c:v>
                </c:pt>
                <c:pt idx="191">
                  <c:v>45061</c:v>
                </c:pt>
                <c:pt idx="192">
                  <c:v>45068</c:v>
                </c:pt>
              </c:numCache>
            </c:numRef>
          </c:cat>
          <c:val>
            <c:numRef>
              <c:f>DefiCake!$C$32:$C$308</c:f>
              <c:numCache>
                <c:formatCode>0.00</c:formatCode>
                <c:ptCount val="277"/>
                <c:pt idx="0">
                  <c:v>235</c:v>
                </c:pt>
                <c:pt idx="1">
                  <c:v>272.32</c:v>
                </c:pt>
                <c:pt idx="2">
                  <c:v>259.27999999999997</c:v>
                </c:pt>
                <c:pt idx="3">
                  <c:v>255</c:v>
                </c:pt>
                <c:pt idx="4">
                  <c:v>251.56</c:v>
                </c:pt>
                <c:pt idx="5">
                  <c:v>251.63</c:v>
                </c:pt>
                <c:pt idx="6">
                  <c:v>216.13</c:v>
                </c:pt>
                <c:pt idx="7">
                  <c:v>232.52</c:v>
                </c:pt>
                <c:pt idx="8">
                  <c:v>232.35</c:v>
                </c:pt>
                <c:pt idx="9">
                  <c:v>232.2</c:v>
                </c:pt>
                <c:pt idx="10">
                  <c:v>228</c:v>
                </c:pt>
                <c:pt idx="11">
                  <c:v>224.35</c:v>
                </c:pt>
                <c:pt idx="12">
                  <c:v>219.73</c:v>
                </c:pt>
                <c:pt idx="13">
                  <c:v>210.32</c:v>
                </c:pt>
                <c:pt idx="14">
                  <c:v>216</c:v>
                </c:pt>
                <c:pt idx="15">
                  <c:v>222.58</c:v>
                </c:pt>
                <c:pt idx="16">
                  <c:v>223.95</c:v>
                </c:pt>
                <c:pt idx="17">
                  <c:v>233.46</c:v>
                </c:pt>
                <c:pt idx="18">
                  <c:v>231.2</c:v>
                </c:pt>
                <c:pt idx="19">
                  <c:v>233</c:v>
                </c:pt>
                <c:pt idx="20">
                  <c:v>234.81</c:v>
                </c:pt>
                <c:pt idx="21">
                  <c:v>227.26</c:v>
                </c:pt>
                <c:pt idx="22">
                  <c:v>224.71</c:v>
                </c:pt>
                <c:pt idx="23">
                  <c:v>223.77</c:v>
                </c:pt>
                <c:pt idx="24">
                  <c:v>224.5</c:v>
                </c:pt>
                <c:pt idx="25">
                  <c:v>225.2</c:v>
                </c:pt>
                <c:pt idx="26">
                  <c:v>225.91</c:v>
                </c:pt>
                <c:pt idx="27">
                  <c:v>230</c:v>
                </c:pt>
                <c:pt idx="28">
                  <c:v>234.54</c:v>
                </c:pt>
                <c:pt idx="29">
                  <c:v>231.39</c:v>
                </c:pt>
                <c:pt idx="30">
                  <c:v>207</c:v>
                </c:pt>
                <c:pt idx="31">
                  <c:v>200</c:v>
                </c:pt>
                <c:pt idx="32">
                  <c:v>193</c:v>
                </c:pt>
                <c:pt idx="33">
                  <c:v>189</c:v>
                </c:pt>
                <c:pt idx="34">
                  <c:v>191</c:v>
                </c:pt>
                <c:pt idx="35">
                  <c:v>196</c:v>
                </c:pt>
                <c:pt idx="36">
                  <c:v>207.3</c:v>
                </c:pt>
                <c:pt idx="37">
                  <c:v>206.2</c:v>
                </c:pt>
                <c:pt idx="38">
                  <c:v>207.73</c:v>
                </c:pt>
                <c:pt idx="39">
                  <c:v>210.75</c:v>
                </c:pt>
                <c:pt idx="40">
                  <c:v>212.98</c:v>
                </c:pt>
                <c:pt idx="41">
                  <c:v>209</c:v>
                </c:pt>
                <c:pt idx="42">
                  <c:v>208.18</c:v>
                </c:pt>
                <c:pt idx="43">
                  <c:v>210</c:v>
                </c:pt>
                <c:pt idx="44">
                  <c:v>213</c:v>
                </c:pt>
                <c:pt idx="45">
                  <c:v>181.65</c:v>
                </c:pt>
                <c:pt idx="46">
                  <c:v>175</c:v>
                </c:pt>
                <c:pt idx="47">
                  <c:v>167</c:v>
                </c:pt>
                <c:pt idx="48">
                  <c:v>175</c:v>
                </c:pt>
                <c:pt idx="49">
                  <c:v>181.45</c:v>
                </c:pt>
                <c:pt idx="50">
                  <c:v>181</c:v>
                </c:pt>
                <c:pt idx="51">
                  <c:v>181</c:v>
                </c:pt>
                <c:pt idx="52">
                  <c:v>181</c:v>
                </c:pt>
                <c:pt idx="53">
                  <c:v>181</c:v>
                </c:pt>
                <c:pt idx="54">
                  <c:v>181</c:v>
                </c:pt>
                <c:pt idx="55">
                  <c:v>181</c:v>
                </c:pt>
                <c:pt idx="56">
                  <c:v>183</c:v>
                </c:pt>
                <c:pt idx="57">
                  <c:v>181</c:v>
                </c:pt>
                <c:pt idx="58">
                  <c:v>180.28</c:v>
                </c:pt>
                <c:pt idx="59">
                  <c:v>190</c:v>
                </c:pt>
                <c:pt idx="60">
                  <c:v>202.89</c:v>
                </c:pt>
                <c:pt idx="61">
                  <c:v>205</c:v>
                </c:pt>
                <c:pt idx="62">
                  <c:v>226.72</c:v>
                </c:pt>
                <c:pt idx="63">
                  <c:v>230</c:v>
                </c:pt>
                <c:pt idx="64">
                  <c:v>250</c:v>
                </c:pt>
                <c:pt idx="65">
                  <c:v>255</c:v>
                </c:pt>
                <c:pt idx="66">
                  <c:v>250</c:v>
                </c:pt>
                <c:pt idx="67">
                  <c:v>245</c:v>
                </c:pt>
                <c:pt idx="68">
                  <c:v>245</c:v>
                </c:pt>
                <c:pt idx="69">
                  <c:v>238</c:v>
                </c:pt>
                <c:pt idx="70">
                  <c:v>250</c:v>
                </c:pt>
                <c:pt idx="71">
                  <c:v>250</c:v>
                </c:pt>
                <c:pt idx="72">
                  <c:v>246</c:v>
                </c:pt>
                <c:pt idx="73">
                  <c:v>241.11</c:v>
                </c:pt>
                <c:pt idx="74">
                  <c:v>238</c:v>
                </c:pt>
                <c:pt idx="75">
                  <c:v>234</c:v>
                </c:pt>
                <c:pt idx="76">
                  <c:v>232</c:v>
                </c:pt>
                <c:pt idx="77">
                  <c:v>229.63</c:v>
                </c:pt>
                <c:pt idx="78">
                  <c:v>245</c:v>
                </c:pt>
                <c:pt idx="79">
                  <c:v>266</c:v>
                </c:pt>
                <c:pt idx="80">
                  <c:v>326</c:v>
                </c:pt>
                <c:pt idx="81">
                  <c:v>325.44</c:v>
                </c:pt>
                <c:pt idx="82">
                  <c:v>323.57</c:v>
                </c:pt>
                <c:pt idx="83">
                  <c:v>313</c:v>
                </c:pt>
                <c:pt idx="84">
                  <c:v>307.44</c:v>
                </c:pt>
                <c:pt idx="85">
                  <c:v>303.8</c:v>
                </c:pt>
                <c:pt idx="86">
                  <c:v>305.5</c:v>
                </c:pt>
                <c:pt idx="87">
                  <c:v>308</c:v>
                </c:pt>
                <c:pt idx="88">
                  <c:v>316</c:v>
                </c:pt>
                <c:pt idx="89">
                  <c:v>317.5</c:v>
                </c:pt>
                <c:pt idx="90">
                  <c:v>318.5</c:v>
                </c:pt>
                <c:pt idx="91">
                  <c:v>215</c:v>
                </c:pt>
                <c:pt idx="92">
                  <c:v>90</c:v>
                </c:pt>
                <c:pt idx="93">
                  <c:v>98</c:v>
                </c:pt>
                <c:pt idx="94">
                  <c:v>99</c:v>
                </c:pt>
                <c:pt idx="95">
                  <c:v>101.5</c:v>
                </c:pt>
                <c:pt idx="96">
                  <c:v>95.5</c:v>
                </c:pt>
                <c:pt idx="97">
                  <c:v>88</c:v>
                </c:pt>
                <c:pt idx="98">
                  <c:v>85</c:v>
                </c:pt>
                <c:pt idx="99">
                  <c:v>93.12</c:v>
                </c:pt>
                <c:pt idx="100">
                  <c:v>105</c:v>
                </c:pt>
                <c:pt idx="101">
                  <c:v>101</c:v>
                </c:pt>
                <c:pt idx="102">
                  <c:v>97</c:v>
                </c:pt>
                <c:pt idx="103">
                  <c:v>97</c:v>
                </c:pt>
                <c:pt idx="104">
                  <c:v>99</c:v>
                </c:pt>
                <c:pt idx="105">
                  <c:v>103</c:v>
                </c:pt>
                <c:pt idx="106">
                  <c:v>107</c:v>
                </c:pt>
                <c:pt idx="107">
                  <c:v>113</c:v>
                </c:pt>
                <c:pt idx="108">
                  <c:v>111</c:v>
                </c:pt>
                <c:pt idx="109">
                  <c:v>118</c:v>
                </c:pt>
                <c:pt idx="110">
                  <c:v>121</c:v>
                </c:pt>
                <c:pt idx="111">
                  <c:v>115</c:v>
                </c:pt>
                <c:pt idx="112">
                  <c:v>104</c:v>
                </c:pt>
                <c:pt idx="113">
                  <c:v>102</c:v>
                </c:pt>
                <c:pt idx="114">
                  <c:v>104</c:v>
                </c:pt>
                <c:pt idx="115">
                  <c:v>103.6</c:v>
                </c:pt>
                <c:pt idx="116">
                  <c:v>103.7</c:v>
                </c:pt>
                <c:pt idx="117">
                  <c:v>104.5</c:v>
                </c:pt>
                <c:pt idx="118">
                  <c:v>98.5</c:v>
                </c:pt>
                <c:pt idx="119">
                  <c:v>90</c:v>
                </c:pt>
                <c:pt idx="120">
                  <c:v>94.5</c:v>
                </c:pt>
                <c:pt idx="121">
                  <c:v>96.3</c:v>
                </c:pt>
                <c:pt idx="122">
                  <c:v>101.36</c:v>
                </c:pt>
                <c:pt idx="123">
                  <c:v>97</c:v>
                </c:pt>
                <c:pt idx="124">
                  <c:v>115</c:v>
                </c:pt>
                <c:pt idx="125">
                  <c:v>124.2</c:v>
                </c:pt>
                <c:pt idx="126">
                  <c:v>103</c:v>
                </c:pt>
                <c:pt idx="127">
                  <c:v>110</c:v>
                </c:pt>
                <c:pt idx="128">
                  <c:v>101</c:v>
                </c:pt>
                <c:pt idx="129">
                  <c:v>102.85</c:v>
                </c:pt>
                <c:pt idx="130">
                  <c:v>100.77</c:v>
                </c:pt>
                <c:pt idx="131">
                  <c:v>95</c:v>
                </c:pt>
                <c:pt idx="132">
                  <c:v>91</c:v>
                </c:pt>
                <c:pt idx="133">
                  <c:v>88</c:v>
                </c:pt>
                <c:pt idx="134">
                  <c:v>83</c:v>
                </c:pt>
                <c:pt idx="135">
                  <c:v>80.709999999999894</c:v>
                </c:pt>
                <c:pt idx="136">
                  <c:v>81.89</c:v>
                </c:pt>
                <c:pt idx="137">
                  <c:v>82.63</c:v>
                </c:pt>
                <c:pt idx="138">
                  <c:v>76.62</c:v>
                </c:pt>
                <c:pt idx="139">
                  <c:v>75.89</c:v>
                </c:pt>
                <c:pt idx="140">
                  <c:v>80.67</c:v>
                </c:pt>
                <c:pt idx="141">
                  <c:v>81.16</c:v>
                </c:pt>
                <c:pt idx="142">
                  <c:v>80.45</c:v>
                </c:pt>
                <c:pt idx="143">
                  <c:v>82.39</c:v>
                </c:pt>
                <c:pt idx="144">
                  <c:v>76.61</c:v>
                </c:pt>
                <c:pt idx="145">
                  <c:v>62.64</c:v>
                </c:pt>
                <c:pt idx="146">
                  <c:v>63.84</c:v>
                </c:pt>
                <c:pt idx="147">
                  <c:v>60</c:v>
                </c:pt>
                <c:pt idx="148">
                  <c:v>60.45</c:v>
                </c:pt>
                <c:pt idx="149">
                  <c:v>62.6</c:v>
                </c:pt>
                <c:pt idx="150">
                  <c:v>62.26</c:v>
                </c:pt>
                <c:pt idx="151">
                  <c:v>63.09</c:v>
                </c:pt>
                <c:pt idx="152">
                  <c:v>65.38</c:v>
                </c:pt>
                <c:pt idx="153">
                  <c:v>60.84</c:v>
                </c:pt>
                <c:pt idx="154">
                  <c:v>60.92</c:v>
                </c:pt>
                <c:pt idx="155">
                  <c:v>58.87</c:v>
                </c:pt>
                <c:pt idx="156">
                  <c:v>59.06</c:v>
                </c:pt>
                <c:pt idx="157">
                  <c:v>60.11</c:v>
                </c:pt>
                <c:pt idx="158">
                  <c:v>60.45</c:v>
                </c:pt>
                <c:pt idx="159">
                  <c:v>64.650000000000006</c:v>
                </c:pt>
                <c:pt idx="160">
                  <c:v>65.849999999999895</c:v>
                </c:pt>
                <c:pt idx="161">
                  <c:v>71.42</c:v>
                </c:pt>
                <c:pt idx="162">
                  <c:v>72.02</c:v>
                </c:pt>
                <c:pt idx="163">
                  <c:v>76.94</c:v>
                </c:pt>
                <c:pt idx="164">
                  <c:v>77.19</c:v>
                </c:pt>
                <c:pt idx="165">
                  <c:v>84.2</c:v>
                </c:pt>
                <c:pt idx="166">
                  <c:v>87.319999999999894</c:v>
                </c:pt>
                <c:pt idx="167">
                  <c:v>88.52</c:v>
                </c:pt>
                <c:pt idx="168">
                  <c:v>83.43</c:v>
                </c:pt>
                <c:pt idx="169">
                  <c:v>84.14</c:v>
                </c:pt>
                <c:pt idx="170">
                  <c:v>79.290000000000006</c:v>
                </c:pt>
                <c:pt idx="171">
                  <c:v>79.7</c:v>
                </c:pt>
                <c:pt idx="172">
                  <c:v>78.540000000000006</c:v>
                </c:pt>
                <c:pt idx="173">
                  <c:v>86.18</c:v>
                </c:pt>
                <c:pt idx="174">
                  <c:v>87.81</c:v>
                </c:pt>
                <c:pt idx="175">
                  <c:v>87.89</c:v>
                </c:pt>
                <c:pt idx="176">
                  <c:v>86.51</c:v>
                </c:pt>
                <c:pt idx="177">
                  <c:v>82.41</c:v>
                </c:pt>
                <c:pt idx="178">
                  <c:v>76.27</c:v>
                </c:pt>
                <c:pt idx="179">
                  <c:v>74.23</c:v>
                </c:pt>
                <c:pt idx="180">
                  <c:v>74.02</c:v>
                </c:pt>
                <c:pt idx="181">
                  <c:v>81.260000000000005</c:v>
                </c:pt>
                <c:pt idx="182">
                  <c:v>88.569999999999894</c:v>
                </c:pt>
                <c:pt idx="183">
                  <c:v>89.39</c:v>
                </c:pt>
                <c:pt idx="184">
                  <c:v>85.04</c:v>
                </c:pt>
                <c:pt idx="185">
                  <c:v>86.569999999999894</c:v>
                </c:pt>
                <c:pt idx="186">
                  <c:v>82.84</c:v>
                </c:pt>
                <c:pt idx="187">
                  <c:v>83.18</c:v>
                </c:pt>
                <c:pt idx="188">
                  <c:v>85.08</c:v>
                </c:pt>
                <c:pt idx="189">
                  <c:v>86.19</c:v>
                </c:pt>
                <c:pt idx="190">
                  <c:v>79.84</c:v>
                </c:pt>
                <c:pt idx="191">
                  <c:v>66.19</c:v>
                </c:pt>
                <c:pt idx="192">
                  <c:v>64.45</c:v>
                </c:pt>
              </c:numCache>
            </c:numRef>
          </c:val>
        </c:ser>
        <c:ser>
          <c:idx val="1"/>
          <c:order val="1"/>
          <c:tx>
            <c:strRef>
              <c:f>DefiCake!$D$31</c:f>
              <c:strCache>
                <c:ptCount val="1"/>
                <c:pt idx="0">
                  <c:v>DFI * Coef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DefiCake!$B$32:$B$263</c:f>
              <c:numCache>
                <c:formatCode>dd/mm/yy;@</c:formatCode>
                <c:ptCount val="232"/>
                <c:pt idx="0">
                  <c:v>44537</c:v>
                </c:pt>
                <c:pt idx="1">
                  <c:v>44538</c:v>
                </c:pt>
                <c:pt idx="2">
                  <c:v>44539</c:v>
                </c:pt>
                <c:pt idx="3">
                  <c:v>44540</c:v>
                </c:pt>
                <c:pt idx="4">
                  <c:v>44541</c:v>
                </c:pt>
                <c:pt idx="5">
                  <c:v>44542</c:v>
                </c:pt>
                <c:pt idx="6">
                  <c:v>44543</c:v>
                </c:pt>
                <c:pt idx="7">
                  <c:v>44544</c:v>
                </c:pt>
                <c:pt idx="8">
                  <c:v>44545</c:v>
                </c:pt>
                <c:pt idx="9">
                  <c:v>44546</c:v>
                </c:pt>
                <c:pt idx="10">
                  <c:v>44547</c:v>
                </c:pt>
                <c:pt idx="11">
                  <c:v>44548</c:v>
                </c:pt>
                <c:pt idx="12">
                  <c:v>44549</c:v>
                </c:pt>
                <c:pt idx="13">
                  <c:v>44550</c:v>
                </c:pt>
                <c:pt idx="14">
                  <c:v>44551</c:v>
                </c:pt>
                <c:pt idx="15">
                  <c:v>44552</c:v>
                </c:pt>
                <c:pt idx="16">
                  <c:v>44553</c:v>
                </c:pt>
                <c:pt idx="17">
                  <c:v>44554</c:v>
                </c:pt>
                <c:pt idx="18">
                  <c:v>44555</c:v>
                </c:pt>
                <c:pt idx="19">
                  <c:v>44556</c:v>
                </c:pt>
                <c:pt idx="20">
                  <c:v>44557</c:v>
                </c:pt>
                <c:pt idx="21">
                  <c:v>44558</c:v>
                </c:pt>
                <c:pt idx="22">
                  <c:v>44559</c:v>
                </c:pt>
                <c:pt idx="23">
                  <c:v>44560</c:v>
                </c:pt>
                <c:pt idx="24">
                  <c:v>44561</c:v>
                </c:pt>
                <c:pt idx="25">
                  <c:v>44562</c:v>
                </c:pt>
                <c:pt idx="26">
                  <c:v>44563</c:v>
                </c:pt>
                <c:pt idx="27">
                  <c:v>44564</c:v>
                </c:pt>
                <c:pt idx="28">
                  <c:v>44565</c:v>
                </c:pt>
                <c:pt idx="29">
                  <c:v>44566</c:v>
                </c:pt>
                <c:pt idx="30">
                  <c:v>44567</c:v>
                </c:pt>
                <c:pt idx="31">
                  <c:v>44568</c:v>
                </c:pt>
                <c:pt idx="32">
                  <c:v>44569</c:v>
                </c:pt>
                <c:pt idx="33">
                  <c:v>44570</c:v>
                </c:pt>
                <c:pt idx="34">
                  <c:v>44571</c:v>
                </c:pt>
                <c:pt idx="35">
                  <c:v>44572</c:v>
                </c:pt>
                <c:pt idx="36">
                  <c:v>44573</c:v>
                </c:pt>
                <c:pt idx="37">
                  <c:v>44574</c:v>
                </c:pt>
                <c:pt idx="38">
                  <c:v>44575</c:v>
                </c:pt>
                <c:pt idx="39">
                  <c:v>44576</c:v>
                </c:pt>
                <c:pt idx="40">
                  <c:v>44577</c:v>
                </c:pt>
                <c:pt idx="41">
                  <c:v>44578</c:v>
                </c:pt>
                <c:pt idx="42">
                  <c:v>44579</c:v>
                </c:pt>
                <c:pt idx="43">
                  <c:v>44580</c:v>
                </c:pt>
                <c:pt idx="44">
                  <c:v>44581</c:v>
                </c:pt>
                <c:pt idx="45">
                  <c:v>44582</c:v>
                </c:pt>
                <c:pt idx="46">
                  <c:v>44583</c:v>
                </c:pt>
                <c:pt idx="47">
                  <c:v>44584</c:v>
                </c:pt>
                <c:pt idx="48">
                  <c:v>44585</c:v>
                </c:pt>
                <c:pt idx="49">
                  <c:v>44586</c:v>
                </c:pt>
                <c:pt idx="50">
                  <c:v>44587</c:v>
                </c:pt>
                <c:pt idx="51">
                  <c:v>44588</c:v>
                </c:pt>
                <c:pt idx="52">
                  <c:v>44589</c:v>
                </c:pt>
                <c:pt idx="53">
                  <c:v>44590</c:v>
                </c:pt>
                <c:pt idx="54">
                  <c:v>44591</c:v>
                </c:pt>
                <c:pt idx="55">
                  <c:v>44592</c:v>
                </c:pt>
                <c:pt idx="56">
                  <c:v>44593</c:v>
                </c:pt>
                <c:pt idx="57">
                  <c:v>44594</c:v>
                </c:pt>
                <c:pt idx="58">
                  <c:v>44595</c:v>
                </c:pt>
                <c:pt idx="59">
                  <c:v>44596</c:v>
                </c:pt>
                <c:pt idx="60">
                  <c:v>44597</c:v>
                </c:pt>
                <c:pt idx="61">
                  <c:v>44598</c:v>
                </c:pt>
                <c:pt idx="62">
                  <c:v>44599</c:v>
                </c:pt>
                <c:pt idx="63">
                  <c:v>44600</c:v>
                </c:pt>
                <c:pt idx="64">
                  <c:v>44601</c:v>
                </c:pt>
                <c:pt idx="65">
                  <c:v>44602</c:v>
                </c:pt>
                <c:pt idx="66">
                  <c:v>44603</c:v>
                </c:pt>
                <c:pt idx="67">
                  <c:v>44604</c:v>
                </c:pt>
                <c:pt idx="68">
                  <c:v>44605</c:v>
                </c:pt>
                <c:pt idx="69">
                  <c:v>44606</c:v>
                </c:pt>
                <c:pt idx="70">
                  <c:v>44607</c:v>
                </c:pt>
                <c:pt idx="71">
                  <c:v>44608</c:v>
                </c:pt>
                <c:pt idx="72">
                  <c:v>44609</c:v>
                </c:pt>
                <c:pt idx="73">
                  <c:v>44610</c:v>
                </c:pt>
                <c:pt idx="74">
                  <c:v>44611</c:v>
                </c:pt>
                <c:pt idx="75">
                  <c:v>44612</c:v>
                </c:pt>
                <c:pt idx="76">
                  <c:v>44613</c:v>
                </c:pt>
                <c:pt idx="77">
                  <c:v>44614</c:v>
                </c:pt>
                <c:pt idx="78">
                  <c:v>44630</c:v>
                </c:pt>
                <c:pt idx="79">
                  <c:v>44639</c:v>
                </c:pt>
                <c:pt idx="80">
                  <c:v>44649</c:v>
                </c:pt>
                <c:pt idx="81">
                  <c:v>44653</c:v>
                </c:pt>
                <c:pt idx="82">
                  <c:v>44657</c:v>
                </c:pt>
                <c:pt idx="83">
                  <c:v>44660</c:v>
                </c:pt>
                <c:pt idx="84">
                  <c:v>44662</c:v>
                </c:pt>
                <c:pt idx="85">
                  <c:v>44665</c:v>
                </c:pt>
                <c:pt idx="86">
                  <c:v>44667</c:v>
                </c:pt>
                <c:pt idx="87">
                  <c:v>44669</c:v>
                </c:pt>
                <c:pt idx="88">
                  <c:v>44670</c:v>
                </c:pt>
                <c:pt idx="89">
                  <c:v>44671</c:v>
                </c:pt>
                <c:pt idx="90">
                  <c:v>44672</c:v>
                </c:pt>
                <c:pt idx="91">
                  <c:v>44698</c:v>
                </c:pt>
                <c:pt idx="92">
                  <c:v>44731</c:v>
                </c:pt>
                <c:pt idx="93">
                  <c:v>44732</c:v>
                </c:pt>
                <c:pt idx="94">
                  <c:v>44734</c:v>
                </c:pt>
                <c:pt idx="95">
                  <c:v>44739</c:v>
                </c:pt>
                <c:pt idx="96">
                  <c:v>44741</c:v>
                </c:pt>
                <c:pt idx="97">
                  <c:v>44743</c:v>
                </c:pt>
                <c:pt idx="98">
                  <c:v>44745</c:v>
                </c:pt>
                <c:pt idx="99">
                  <c:v>44748</c:v>
                </c:pt>
                <c:pt idx="100">
                  <c:v>44751</c:v>
                </c:pt>
                <c:pt idx="101">
                  <c:v>44752</c:v>
                </c:pt>
                <c:pt idx="102">
                  <c:v>44754</c:v>
                </c:pt>
                <c:pt idx="103">
                  <c:v>44756</c:v>
                </c:pt>
                <c:pt idx="104">
                  <c:v>44757</c:v>
                </c:pt>
                <c:pt idx="105">
                  <c:v>44758</c:v>
                </c:pt>
                <c:pt idx="106">
                  <c:v>44760</c:v>
                </c:pt>
                <c:pt idx="107">
                  <c:v>44761</c:v>
                </c:pt>
                <c:pt idx="108">
                  <c:v>44764</c:v>
                </c:pt>
                <c:pt idx="109">
                  <c:v>44770</c:v>
                </c:pt>
                <c:pt idx="110">
                  <c:v>44772</c:v>
                </c:pt>
                <c:pt idx="111">
                  <c:v>44774</c:v>
                </c:pt>
                <c:pt idx="112">
                  <c:v>44778</c:v>
                </c:pt>
                <c:pt idx="113">
                  <c:v>44780</c:v>
                </c:pt>
                <c:pt idx="114">
                  <c:v>44781</c:v>
                </c:pt>
                <c:pt idx="115">
                  <c:v>44783</c:v>
                </c:pt>
                <c:pt idx="116">
                  <c:v>44784</c:v>
                </c:pt>
                <c:pt idx="117">
                  <c:v>44787</c:v>
                </c:pt>
                <c:pt idx="118">
                  <c:v>44791</c:v>
                </c:pt>
                <c:pt idx="119">
                  <c:v>44795</c:v>
                </c:pt>
                <c:pt idx="120">
                  <c:v>44796</c:v>
                </c:pt>
                <c:pt idx="121">
                  <c:v>44797</c:v>
                </c:pt>
                <c:pt idx="122">
                  <c:v>44799</c:v>
                </c:pt>
                <c:pt idx="123">
                  <c:v>44804</c:v>
                </c:pt>
                <c:pt idx="124">
                  <c:v>44808</c:v>
                </c:pt>
                <c:pt idx="125">
                  <c:v>44809</c:v>
                </c:pt>
                <c:pt idx="126">
                  <c:v>44811</c:v>
                </c:pt>
                <c:pt idx="127">
                  <c:v>44813</c:v>
                </c:pt>
                <c:pt idx="128">
                  <c:v>44817</c:v>
                </c:pt>
                <c:pt idx="129">
                  <c:v>44819</c:v>
                </c:pt>
                <c:pt idx="130">
                  <c:v>44820</c:v>
                </c:pt>
                <c:pt idx="131">
                  <c:v>44822</c:v>
                </c:pt>
                <c:pt idx="132">
                  <c:v>44825</c:v>
                </c:pt>
                <c:pt idx="133">
                  <c:v>44829</c:v>
                </c:pt>
                <c:pt idx="134">
                  <c:v>44834</c:v>
                </c:pt>
                <c:pt idx="135">
                  <c:v>44835</c:v>
                </c:pt>
                <c:pt idx="136">
                  <c:v>44838</c:v>
                </c:pt>
                <c:pt idx="137">
                  <c:v>44840</c:v>
                </c:pt>
                <c:pt idx="138">
                  <c:v>44844</c:v>
                </c:pt>
                <c:pt idx="139">
                  <c:v>44853</c:v>
                </c:pt>
                <c:pt idx="140">
                  <c:v>44861</c:v>
                </c:pt>
                <c:pt idx="141">
                  <c:v>44864</c:v>
                </c:pt>
                <c:pt idx="142">
                  <c:v>44866</c:v>
                </c:pt>
                <c:pt idx="143">
                  <c:v>44870</c:v>
                </c:pt>
                <c:pt idx="144">
                  <c:v>44873</c:v>
                </c:pt>
                <c:pt idx="145">
                  <c:v>44878</c:v>
                </c:pt>
                <c:pt idx="146">
                  <c:v>44880</c:v>
                </c:pt>
                <c:pt idx="147">
                  <c:v>44887</c:v>
                </c:pt>
                <c:pt idx="148">
                  <c:v>44891</c:v>
                </c:pt>
                <c:pt idx="149">
                  <c:v>44896</c:v>
                </c:pt>
                <c:pt idx="150">
                  <c:v>44902</c:v>
                </c:pt>
                <c:pt idx="151">
                  <c:v>44907</c:v>
                </c:pt>
                <c:pt idx="152">
                  <c:v>44909</c:v>
                </c:pt>
                <c:pt idx="153">
                  <c:v>44912</c:v>
                </c:pt>
                <c:pt idx="154">
                  <c:v>44915</c:v>
                </c:pt>
                <c:pt idx="155">
                  <c:v>44928</c:v>
                </c:pt>
                <c:pt idx="156">
                  <c:v>44935</c:v>
                </c:pt>
                <c:pt idx="157">
                  <c:v>44936</c:v>
                </c:pt>
                <c:pt idx="158">
                  <c:v>44937</c:v>
                </c:pt>
                <c:pt idx="159">
                  <c:v>44938</c:v>
                </c:pt>
                <c:pt idx="160">
                  <c:v>44939</c:v>
                </c:pt>
                <c:pt idx="161">
                  <c:v>44941</c:v>
                </c:pt>
                <c:pt idx="162">
                  <c:v>44943</c:v>
                </c:pt>
                <c:pt idx="163">
                  <c:v>44947</c:v>
                </c:pt>
                <c:pt idx="164">
                  <c:v>44952</c:v>
                </c:pt>
                <c:pt idx="165">
                  <c:v>44955</c:v>
                </c:pt>
                <c:pt idx="166">
                  <c:v>44958</c:v>
                </c:pt>
                <c:pt idx="167">
                  <c:v>44960</c:v>
                </c:pt>
                <c:pt idx="168">
                  <c:v>44963</c:v>
                </c:pt>
                <c:pt idx="169">
                  <c:v>44965</c:v>
                </c:pt>
                <c:pt idx="170">
                  <c:v>44967</c:v>
                </c:pt>
                <c:pt idx="171">
                  <c:v>44969</c:v>
                </c:pt>
                <c:pt idx="172">
                  <c:v>44971</c:v>
                </c:pt>
                <c:pt idx="173">
                  <c:v>44972</c:v>
                </c:pt>
                <c:pt idx="174">
                  <c:v>44973</c:v>
                </c:pt>
                <c:pt idx="175">
                  <c:v>44978</c:v>
                </c:pt>
                <c:pt idx="176">
                  <c:v>44980</c:v>
                </c:pt>
                <c:pt idx="177">
                  <c:v>44985</c:v>
                </c:pt>
                <c:pt idx="178">
                  <c:v>44990</c:v>
                </c:pt>
                <c:pt idx="179">
                  <c:v>44993</c:v>
                </c:pt>
                <c:pt idx="180">
                  <c:v>44998</c:v>
                </c:pt>
                <c:pt idx="181">
                  <c:v>44999</c:v>
                </c:pt>
                <c:pt idx="182">
                  <c:v>45005</c:v>
                </c:pt>
                <c:pt idx="183">
                  <c:v>45007</c:v>
                </c:pt>
                <c:pt idx="184">
                  <c:v>45011</c:v>
                </c:pt>
                <c:pt idx="185">
                  <c:v>45015</c:v>
                </c:pt>
                <c:pt idx="186">
                  <c:v>45020</c:v>
                </c:pt>
                <c:pt idx="187">
                  <c:v>45026</c:v>
                </c:pt>
                <c:pt idx="188">
                  <c:v>45029</c:v>
                </c:pt>
                <c:pt idx="189">
                  <c:v>45033</c:v>
                </c:pt>
                <c:pt idx="190">
                  <c:v>45043</c:v>
                </c:pt>
                <c:pt idx="191">
                  <c:v>45061</c:v>
                </c:pt>
                <c:pt idx="192">
                  <c:v>45068</c:v>
                </c:pt>
              </c:numCache>
            </c:numRef>
          </c:cat>
          <c:val>
            <c:numRef>
              <c:f>DefiCake!$D$32:$D$263</c:f>
              <c:numCache>
                <c:formatCode>0.00</c:formatCode>
                <c:ptCount val="232"/>
                <c:pt idx="0">
                  <c:v>234.6</c:v>
                </c:pt>
                <c:pt idx="1">
                  <c:v>265.2</c:v>
                </c:pt>
                <c:pt idx="2">
                  <c:v>244.79999999999998</c:v>
                </c:pt>
                <c:pt idx="3">
                  <c:v>238.67999999999998</c:v>
                </c:pt>
                <c:pt idx="4">
                  <c:v>232.04999999999998</c:v>
                </c:pt>
                <c:pt idx="5">
                  <c:v>228.99</c:v>
                </c:pt>
                <c:pt idx="6">
                  <c:v>183.6</c:v>
                </c:pt>
                <c:pt idx="7">
                  <c:v>206.54999999999998</c:v>
                </c:pt>
                <c:pt idx="8">
                  <c:v>204</c:v>
                </c:pt>
                <c:pt idx="9">
                  <c:v>204</c:v>
                </c:pt>
                <c:pt idx="10">
                  <c:v>193.79999999999998</c:v>
                </c:pt>
                <c:pt idx="11">
                  <c:v>191.25</c:v>
                </c:pt>
                <c:pt idx="12">
                  <c:v>184.62</c:v>
                </c:pt>
                <c:pt idx="13">
                  <c:v>173.91</c:v>
                </c:pt>
                <c:pt idx="14">
                  <c:v>177.48</c:v>
                </c:pt>
                <c:pt idx="15">
                  <c:v>181.04999999999998</c:v>
                </c:pt>
                <c:pt idx="16">
                  <c:v>172.38</c:v>
                </c:pt>
                <c:pt idx="17">
                  <c:v>175.44</c:v>
                </c:pt>
                <c:pt idx="18">
                  <c:v>175.44</c:v>
                </c:pt>
                <c:pt idx="19">
                  <c:v>171.87</c:v>
                </c:pt>
                <c:pt idx="20">
                  <c:v>168.29999999999998</c:v>
                </c:pt>
                <c:pt idx="21">
                  <c:v>173.4</c:v>
                </c:pt>
                <c:pt idx="22">
                  <c:v>168.81</c:v>
                </c:pt>
                <c:pt idx="23">
                  <c:v>169.32</c:v>
                </c:pt>
                <c:pt idx="24">
                  <c:v>169.83</c:v>
                </c:pt>
                <c:pt idx="25">
                  <c:v>170.34</c:v>
                </c:pt>
                <c:pt idx="26">
                  <c:v>170.85</c:v>
                </c:pt>
                <c:pt idx="27">
                  <c:v>175.95000000000002</c:v>
                </c:pt>
                <c:pt idx="28">
                  <c:v>181.56</c:v>
                </c:pt>
                <c:pt idx="29">
                  <c:v>176.46</c:v>
                </c:pt>
                <c:pt idx="30">
                  <c:v>155.54999999999998</c:v>
                </c:pt>
                <c:pt idx="31">
                  <c:v>147.9</c:v>
                </c:pt>
                <c:pt idx="32">
                  <c:v>142.79999999999998</c:v>
                </c:pt>
                <c:pt idx="33">
                  <c:v>137.19</c:v>
                </c:pt>
                <c:pt idx="34">
                  <c:v>137.70000000000002</c:v>
                </c:pt>
                <c:pt idx="35">
                  <c:v>138.21</c:v>
                </c:pt>
                <c:pt idx="36">
                  <c:v>150.45000000000002</c:v>
                </c:pt>
                <c:pt idx="37">
                  <c:v>148.91999999999999</c:v>
                </c:pt>
                <c:pt idx="38">
                  <c:v>151.47</c:v>
                </c:pt>
                <c:pt idx="39">
                  <c:v>153.51</c:v>
                </c:pt>
                <c:pt idx="40">
                  <c:v>156.57</c:v>
                </c:pt>
                <c:pt idx="41">
                  <c:v>156.06</c:v>
                </c:pt>
                <c:pt idx="42">
                  <c:v>153.51</c:v>
                </c:pt>
                <c:pt idx="43">
                  <c:v>154.53</c:v>
                </c:pt>
                <c:pt idx="44">
                  <c:v>156.06</c:v>
                </c:pt>
                <c:pt idx="45">
                  <c:v>135.15</c:v>
                </c:pt>
                <c:pt idx="46">
                  <c:v>130.04999999999998</c:v>
                </c:pt>
                <c:pt idx="47">
                  <c:v>122.39999999999999</c:v>
                </c:pt>
                <c:pt idx="48">
                  <c:v>122.39999999999999</c:v>
                </c:pt>
                <c:pt idx="49">
                  <c:v>130.04999999999998</c:v>
                </c:pt>
                <c:pt idx="50">
                  <c:v>130.04999999999998</c:v>
                </c:pt>
                <c:pt idx="51">
                  <c:v>130.04999999999998</c:v>
                </c:pt>
                <c:pt idx="52">
                  <c:v>130.04999999999998</c:v>
                </c:pt>
                <c:pt idx="53">
                  <c:v>130.04999999999998</c:v>
                </c:pt>
                <c:pt idx="54">
                  <c:v>129.54</c:v>
                </c:pt>
                <c:pt idx="55">
                  <c:v>130.04999999999998</c:v>
                </c:pt>
                <c:pt idx="56">
                  <c:v>130.04999999999998</c:v>
                </c:pt>
                <c:pt idx="57">
                  <c:v>127.5</c:v>
                </c:pt>
                <c:pt idx="58">
                  <c:v>125.46</c:v>
                </c:pt>
                <c:pt idx="59">
                  <c:v>134.64000000000001</c:v>
                </c:pt>
                <c:pt idx="60">
                  <c:v>138.72</c:v>
                </c:pt>
                <c:pt idx="61">
                  <c:v>142.79999999999998</c:v>
                </c:pt>
                <c:pt idx="62">
                  <c:v>164.73</c:v>
                </c:pt>
                <c:pt idx="63">
                  <c:v>167.28</c:v>
                </c:pt>
                <c:pt idx="64">
                  <c:v>173.4</c:v>
                </c:pt>
                <c:pt idx="65">
                  <c:v>188.70000000000002</c:v>
                </c:pt>
                <c:pt idx="66">
                  <c:v>183.6</c:v>
                </c:pt>
                <c:pt idx="67">
                  <c:v>178.5</c:v>
                </c:pt>
                <c:pt idx="68">
                  <c:v>178.5</c:v>
                </c:pt>
                <c:pt idx="69">
                  <c:v>173.4</c:v>
                </c:pt>
                <c:pt idx="70">
                  <c:v>184.10999999999999</c:v>
                </c:pt>
                <c:pt idx="71">
                  <c:v>187.68</c:v>
                </c:pt>
                <c:pt idx="72">
                  <c:v>186.15</c:v>
                </c:pt>
                <c:pt idx="73">
                  <c:v>180.54</c:v>
                </c:pt>
                <c:pt idx="74">
                  <c:v>178.5</c:v>
                </c:pt>
                <c:pt idx="75">
                  <c:v>173.4</c:v>
                </c:pt>
                <c:pt idx="76">
                  <c:v>175.44</c:v>
                </c:pt>
                <c:pt idx="77">
                  <c:v>170.34</c:v>
                </c:pt>
                <c:pt idx="78">
                  <c:v>175.95000000000002</c:v>
                </c:pt>
                <c:pt idx="79">
                  <c:v>191.25</c:v>
                </c:pt>
                <c:pt idx="80">
                  <c:v>237.15</c:v>
                </c:pt>
                <c:pt idx="81">
                  <c:v>233.07000000000002</c:v>
                </c:pt>
                <c:pt idx="82">
                  <c:v>232.04999999999998</c:v>
                </c:pt>
                <c:pt idx="83">
                  <c:v>225.42</c:v>
                </c:pt>
                <c:pt idx="84">
                  <c:v>222.36</c:v>
                </c:pt>
                <c:pt idx="85">
                  <c:v>220.83</c:v>
                </c:pt>
                <c:pt idx="86">
                  <c:v>219.80999999999997</c:v>
                </c:pt>
                <c:pt idx="87">
                  <c:v>220.83</c:v>
                </c:pt>
                <c:pt idx="88">
                  <c:v>225.42</c:v>
                </c:pt>
                <c:pt idx="89">
                  <c:v>226.44000000000003</c:v>
                </c:pt>
                <c:pt idx="90">
                  <c:v>226.95000000000002</c:v>
                </c:pt>
                <c:pt idx="91">
                  <c:v>153</c:v>
                </c:pt>
                <c:pt idx="92">
                  <c:v>51</c:v>
                </c:pt>
                <c:pt idx="93">
                  <c:v>51</c:v>
                </c:pt>
                <c:pt idx="94">
                  <c:v>51</c:v>
                </c:pt>
                <c:pt idx="95">
                  <c:v>51</c:v>
                </c:pt>
                <c:pt idx="96">
                  <c:v>48.449999999999996</c:v>
                </c:pt>
                <c:pt idx="97">
                  <c:v>45.645000000000003</c:v>
                </c:pt>
                <c:pt idx="98">
                  <c:v>43.35</c:v>
                </c:pt>
                <c:pt idx="99">
                  <c:v>47.94</c:v>
                </c:pt>
                <c:pt idx="100">
                  <c:v>54.06</c:v>
                </c:pt>
                <c:pt idx="101">
                  <c:v>52.02</c:v>
                </c:pt>
                <c:pt idx="102">
                  <c:v>49.98</c:v>
                </c:pt>
                <c:pt idx="103">
                  <c:v>49.47</c:v>
                </c:pt>
                <c:pt idx="104">
                  <c:v>50.49</c:v>
                </c:pt>
                <c:pt idx="105">
                  <c:v>53.04</c:v>
                </c:pt>
                <c:pt idx="106">
                  <c:v>55.59</c:v>
                </c:pt>
                <c:pt idx="107">
                  <c:v>57.629999999999995</c:v>
                </c:pt>
                <c:pt idx="108">
                  <c:v>57.629999999999995</c:v>
                </c:pt>
                <c:pt idx="109">
                  <c:v>60.69</c:v>
                </c:pt>
                <c:pt idx="110">
                  <c:v>61.199999999999996</c:v>
                </c:pt>
                <c:pt idx="111">
                  <c:v>58.139999999999993</c:v>
                </c:pt>
                <c:pt idx="112">
                  <c:v>51</c:v>
                </c:pt>
                <c:pt idx="113">
                  <c:v>48.449999999999996</c:v>
                </c:pt>
                <c:pt idx="114">
                  <c:v>49.47</c:v>
                </c:pt>
                <c:pt idx="115">
                  <c:v>47.94</c:v>
                </c:pt>
                <c:pt idx="116">
                  <c:v>48.449999999999996</c:v>
                </c:pt>
                <c:pt idx="117">
                  <c:v>48.449999999999996</c:v>
                </c:pt>
                <c:pt idx="118">
                  <c:v>45.9</c:v>
                </c:pt>
                <c:pt idx="119">
                  <c:v>42.33</c:v>
                </c:pt>
                <c:pt idx="120">
                  <c:v>44.37</c:v>
                </c:pt>
                <c:pt idx="121">
                  <c:v>45.39</c:v>
                </c:pt>
                <c:pt idx="122">
                  <c:v>47.94</c:v>
                </c:pt>
                <c:pt idx="123">
                  <c:v>46.92</c:v>
                </c:pt>
                <c:pt idx="124">
                  <c:v>60.18</c:v>
                </c:pt>
                <c:pt idx="125">
                  <c:v>65.790000000000006</c:v>
                </c:pt>
                <c:pt idx="126">
                  <c:v>51.51</c:v>
                </c:pt>
                <c:pt idx="127">
                  <c:v>54.06</c:v>
                </c:pt>
                <c:pt idx="128">
                  <c:v>48.449999999999996</c:v>
                </c:pt>
                <c:pt idx="129">
                  <c:v>50.49</c:v>
                </c:pt>
                <c:pt idx="130">
                  <c:v>48.96</c:v>
                </c:pt>
                <c:pt idx="131">
                  <c:v>45.39</c:v>
                </c:pt>
                <c:pt idx="132">
                  <c:v>42.839999999999996</c:v>
                </c:pt>
                <c:pt idx="133">
                  <c:v>40.29</c:v>
                </c:pt>
                <c:pt idx="134">
                  <c:v>36.72</c:v>
                </c:pt>
                <c:pt idx="135">
                  <c:v>35.699999999999996</c:v>
                </c:pt>
                <c:pt idx="136">
                  <c:v>35.699999999999996</c:v>
                </c:pt>
                <c:pt idx="137">
                  <c:v>35.699999999999996</c:v>
                </c:pt>
                <c:pt idx="138">
                  <c:v>32.130000000000003</c:v>
                </c:pt>
                <c:pt idx="139">
                  <c:v>32.130000000000003</c:v>
                </c:pt>
                <c:pt idx="140">
                  <c:v>33.15</c:v>
                </c:pt>
                <c:pt idx="141">
                  <c:v>33.15</c:v>
                </c:pt>
                <c:pt idx="142">
                  <c:v>33.048000000000002</c:v>
                </c:pt>
                <c:pt idx="143">
                  <c:v>33.558</c:v>
                </c:pt>
                <c:pt idx="144">
                  <c:v>31.62</c:v>
                </c:pt>
                <c:pt idx="145">
                  <c:v>24.48</c:v>
                </c:pt>
                <c:pt idx="146">
                  <c:v>24.48</c:v>
                </c:pt>
                <c:pt idx="147">
                  <c:v>23.205000000000002</c:v>
                </c:pt>
                <c:pt idx="148">
                  <c:v>23.46</c:v>
                </c:pt>
                <c:pt idx="149">
                  <c:v>23.97</c:v>
                </c:pt>
                <c:pt idx="150">
                  <c:v>24.48</c:v>
                </c:pt>
                <c:pt idx="151">
                  <c:v>24.48</c:v>
                </c:pt>
                <c:pt idx="152">
                  <c:v>24.99</c:v>
                </c:pt>
                <c:pt idx="153">
                  <c:v>23.205000000000002</c:v>
                </c:pt>
                <c:pt idx="154">
                  <c:v>23.052</c:v>
                </c:pt>
                <c:pt idx="155">
                  <c:v>21.419999999999998</c:v>
                </c:pt>
                <c:pt idx="156">
                  <c:v>21.419999999999998</c:v>
                </c:pt>
                <c:pt idx="157">
                  <c:v>21.93</c:v>
                </c:pt>
                <c:pt idx="158">
                  <c:v>21.93</c:v>
                </c:pt>
                <c:pt idx="159">
                  <c:v>23.562000000000001</c:v>
                </c:pt>
                <c:pt idx="160">
                  <c:v>23.766000000000002</c:v>
                </c:pt>
                <c:pt idx="161">
                  <c:v>25.5</c:v>
                </c:pt>
                <c:pt idx="162">
                  <c:v>26.01</c:v>
                </c:pt>
                <c:pt idx="163">
                  <c:v>27.540000000000003</c:v>
                </c:pt>
                <c:pt idx="164">
                  <c:v>27.387</c:v>
                </c:pt>
                <c:pt idx="165">
                  <c:v>30.599999999999998</c:v>
                </c:pt>
                <c:pt idx="166">
                  <c:v>32.359499999999997</c:v>
                </c:pt>
                <c:pt idx="167">
                  <c:v>32.997</c:v>
                </c:pt>
                <c:pt idx="168">
                  <c:v>30.4011</c:v>
                </c:pt>
                <c:pt idx="169">
                  <c:v>30.543900000000001</c:v>
                </c:pt>
                <c:pt idx="170">
                  <c:v>28.712999999999997</c:v>
                </c:pt>
                <c:pt idx="171">
                  <c:v>28.9986</c:v>
                </c:pt>
                <c:pt idx="172">
                  <c:v>28.223400000000002</c:v>
                </c:pt>
                <c:pt idx="173">
                  <c:v>30.599999999999998</c:v>
                </c:pt>
                <c:pt idx="174">
                  <c:v>31.441500000000001</c:v>
                </c:pt>
                <c:pt idx="175">
                  <c:v>31.364999999999998</c:v>
                </c:pt>
                <c:pt idx="176">
                  <c:v>30.880500000000001</c:v>
                </c:pt>
                <c:pt idx="177">
                  <c:v>29.222999999999999</c:v>
                </c:pt>
                <c:pt idx="178">
                  <c:v>26.305800000000001</c:v>
                </c:pt>
                <c:pt idx="179">
                  <c:v>25.632600000000004</c:v>
                </c:pt>
                <c:pt idx="180">
                  <c:v>25.622399999999999</c:v>
                </c:pt>
                <c:pt idx="181">
                  <c:v>27.642000000000003</c:v>
                </c:pt>
                <c:pt idx="182">
                  <c:v>29.58</c:v>
                </c:pt>
                <c:pt idx="183">
                  <c:v>29.58</c:v>
                </c:pt>
                <c:pt idx="184">
                  <c:v>27.948</c:v>
                </c:pt>
                <c:pt idx="185">
                  <c:v>28.238699999999998</c:v>
                </c:pt>
                <c:pt idx="186">
                  <c:v>26.356800000000003</c:v>
                </c:pt>
                <c:pt idx="187">
                  <c:v>25.760100000000001</c:v>
                </c:pt>
                <c:pt idx="188">
                  <c:v>26.744399999999999</c:v>
                </c:pt>
                <c:pt idx="189">
                  <c:v>26.780100000000001</c:v>
                </c:pt>
                <c:pt idx="190">
                  <c:v>24.301499999999997</c:v>
                </c:pt>
                <c:pt idx="191">
                  <c:v>18.793499999999998</c:v>
                </c:pt>
                <c:pt idx="192">
                  <c:v>18.115200000000002</c:v>
                </c:pt>
              </c:numCache>
            </c:numRef>
          </c:val>
        </c:ser>
        <c:ser>
          <c:idx val="2"/>
          <c:order val="2"/>
          <c:tx>
            <c:strRef>
              <c:f>DefiCake!$E$31</c:f>
              <c:strCache>
                <c:ptCount val="1"/>
                <c:pt idx="0">
                  <c:v>BTC * Coef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DefiCake!$B$32:$B$245</c:f>
              <c:numCache>
                <c:formatCode>dd/mm/yy;@</c:formatCode>
                <c:ptCount val="214"/>
                <c:pt idx="0">
                  <c:v>44537</c:v>
                </c:pt>
                <c:pt idx="1">
                  <c:v>44538</c:v>
                </c:pt>
                <c:pt idx="2">
                  <c:v>44539</c:v>
                </c:pt>
                <c:pt idx="3">
                  <c:v>44540</c:v>
                </c:pt>
                <c:pt idx="4">
                  <c:v>44541</c:v>
                </c:pt>
                <c:pt idx="5">
                  <c:v>44542</c:v>
                </c:pt>
                <c:pt idx="6">
                  <c:v>44543</c:v>
                </c:pt>
                <c:pt idx="7">
                  <c:v>44544</c:v>
                </c:pt>
                <c:pt idx="8">
                  <c:v>44545</c:v>
                </c:pt>
                <c:pt idx="9">
                  <c:v>44546</c:v>
                </c:pt>
                <c:pt idx="10">
                  <c:v>44547</c:v>
                </c:pt>
                <c:pt idx="11">
                  <c:v>44548</c:v>
                </c:pt>
                <c:pt idx="12">
                  <c:v>44549</c:v>
                </c:pt>
                <c:pt idx="13">
                  <c:v>44550</c:v>
                </c:pt>
                <c:pt idx="14">
                  <c:v>44551</c:v>
                </c:pt>
                <c:pt idx="15">
                  <c:v>44552</c:v>
                </c:pt>
                <c:pt idx="16">
                  <c:v>44553</c:v>
                </c:pt>
                <c:pt idx="17">
                  <c:v>44554</c:v>
                </c:pt>
                <c:pt idx="18">
                  <c:v>44555</c:v>
                </c:pt>
                <c:pt idx="19">
                  <c:v>44556</c:v>
                </c:pt>
                <c:pt idx="20">
                  <c:v>44557</c:v>
                </c:pt>
                <c:pt idx="21">
                  <c:v>44558</c:v>
                </c:pt>
                <c:pt idx="22">
                  <c:v>44559</c:v>
                </c:pt>
                <c:pt idx="23">
                  <c:v>44560</c:v>
                </c:pt>
                <c:pt idx="24">
                  <c:v>44561</c:v>
                </c:pt>
                <c:pt idx="25">
                  <c:v>44562</c:v>
                </c:pt>
                <c:pt idx="26">
                  <c:v>44563</c:v>
                </c:pt>
                <c:pt idx="27">
                  <c:v>44564</c:v>
                </c:pt>
                <c:pt idx="28">
                  <c:v>44565</c:v>
                </c:pt>
                <c:pt idx="29">
                  <c:v>44566</c:v>
                </c:pt>
                <c:pt idx="30">
                  <c:v>44567</c:v>
                </c:pt>
                <c:pt idx="31">
                  <c:v>44568</c:v>
                </c:pt>
                <c:pt idx="32">
                  <c:v>44569</c:v>
                </c:pt>
                <c:pt idx="33">
                  <c:v>44570</c:v>
                </c:pt>
                <c:pt idx="34">
                  <c:v>44571</c:v>
                </c:pt>
                <c:pt idx="35">
                  <c:v>44572</c:v>
                </c:pt>
                <c:pt idx="36">
                  <c:v>44573</c:v>
                </c:pt>
                <c:pt idx="37">
                  <c:v>44574</c:v>
                </c:pt>
                <c:pt idx="38">
                  <c:v>44575</c:v>
                </c:pt>
                <c:pt idx="39">
                  <c:v>44576</c:v>
                </c:pt>
                <c:pt idx="40">
                  <c:v>44577</c:v>
                </c:pt>
                <c:pt idx="41">
                  <c:v>44578</c:v>
                </c:pt>
                <c:pt idx="42">
                  <c:v>44579</c:v>
                </c:pt>
                <c:pt idx="43">
                  <c:v>44580</c:v>
                </c:pt>
                <c:pt idx="44">
                  <c:v>44581</c:v>
                </c:pt>
                <c:pt idx="45">
                  <c:v>44582</c:v>
                </c:pt>
                <c:pt idx="46">
                  <c:v>44583</c:v>
                </c:pt>
                <c:pt idx="47">
                  <c:v>44584</c:v>
                </c:pt>
                <c:pt idx="48">
                  <c:v>44585</c:v>
                </c:pt>
                <c:pt idx="49">
                  <c:v>44586</c:v>
                </c:pt>
                <c:pt idx="50">
                  <c:v>44587</c:v>
                </c:pt>
                <c:pt idx="51">
                  <c:v>44588</c:v>
                </c:pt>
                <c:pt idx="52">
                  <c:v>44589</c:v>
                </c:pt>
                <c:pt idx="53">
                  <c:v>44590</c:v>
                </c:pt>
                <c:pt idx="54">
                  <c:v>44591</c:v>
                </c:pt>
                <c:pt idx="55">
                  <c:v>44592</c:v>
                </c:pt>
                <c:pt idx="56">
                  <c:v>44593</c:v>
                </c:pt>
                <c:pt idx="57">
                  <c:v>44594</c:v>
                </c:pt>
                <c:pt idx="58">
                  <c:v>44595</c:v>
                </c:pt>
                <c:pt idx="59">
                  <c:v>44596</c:v>
                </c:pt>
                <c:pt idx="60">
                  <c:v>44597</c:v>
                </c:pt>
                <c:pt idx="61">
                  <c:v>44598</c:v>
                </c:pt>
                <c:pt idx="62">
                  <c:v>44599</c:v>
                </c:pt>
                <c:pt idx="63">
                  <c:v>44600</c:v>
                </c:pt>
                <c:pt idx="64">
                  <c:v>44601</c:v>
                </c:pt>
                <c:pt idx="65">
                  <c:v>44602</c:v>
                </c:pt>
                <c:pt idx="66">
                  <c:v>44603</c:v>
                </c:pt>
                <c:pt idx="67">
                  <c:v>44604</c:v>
                </c:pt>
                <c:pt idx="68">
                  <c:v>44605</c:v>
                </c:pt>
                <c:pt idx="69">
                  <c:v>44606</c:v>
                </c:pt>
                <c:pt idx="70">
                  <c:v>44607</c:v>
                </c:pt>
                <c:pt idx="71">
                  <c:v>44608</c:v>
                </c:pt>
                <c:pt idx="72">
                  <c:v>44609</c:v>
                </c:pt>
                <c:pt idx="73">
                  <c:v>44610</c:v>
                </c:pt>
                <c:pt idx="74">
                  <c:v>44611</c:v>
                </c:pt>
                <c:pt idx="75">
                  <c:v>44612</c:v>
                </c:pt>
                <c:pt idx="76">
                  <c:v>44613</c:v>
                </c:pt>
                <c:pt idx="77">
                  <c:v>44614</c:v>
                </c:pt>
                <c:pt idx="78">
                  <c:v>44630</c:v>
                </c:pt>
                <c:pt idx="79">
                  <c:v>44639</c:v>
                </c:pt>
                <c:pt idx="80">
                  <c:v>44649</c:v>
                </c:pt>
                <c:pt idx="81">
                  <c:v>44653</c:v>
                </c:pt>
                <c:pt idx="82">
                  <c:v>44657</c:v>
                </c:pt>
                <c:pt idx="83">
                  <c:v>44660</c:v>
                </c:pt>
                <c:pt idx="84">
                  <c:v>44662</c:v>
                </c:pt>
                <c:pt idx="85">
                  <c:v>44665</c:v>
                </c:pt>
                <c:pt idx="86">
                  <c:v>44667</c:v>
                </c:pt>
                <c:pt idx="87">
                  <c:v>44669</c:v>
                </c:pt>
                <c:pt idx="88">
                  <c:v>44670</c:v>
                </c:pt>
                <c:pt idx="89">
                  <c:v>44671</c:v>
                </c:pt>
                <c:pt idx="90">
                  <c:v>44672</c:v>
                </c:pt>
                <c:pt idx="91">
                  <c:v>44698</c:v>
                </c:pt>
                <c:pt idx="92">
                  <c:v>44731</c:v>
                </c:pt>
                <c:pt idx="93">
                  <c:v>44732</c:v>
                </c:pt>
                <c:pt idx="94">
                  <c:v>44734</c:v>
                </c:pt>
                <c:pt idx="95">
                  <c:v>44739</c:v>
                </c:pt>
                <c:pt idx="96">
                  <c:v>44741</c:v>
                </c:pt>
                <c:pt idx="97">
                  <c:v>44743</c:v>
                </c:pt>
                <c:pt idx="98">
                  <c:v>44745</c:v>
                </c:pt>
                <c:pt idx="99">
                  <c:v>44748</c:v>
                </c:pt>
                <c:pt idx="100">
                  <c:v>44751</c:v>
                </c:pt>
                <c:pt idx="101">
                  <c:v>44752</c:v>
                </c:pt>
                <c:pt idx="102">
                  <c:v>44754</c:v>
                </c:pt>
                <c:pt idx="103">
                  <c:v>44756</c:v>
                </c:pt>
                <c:pt idx="104">
                  <c:v>44757</c:v>
                </c:pt>
                <c:pt idx="105">
                  <c:v>44758</c:v>
                </c:pt>
                <c:pt idx="106">
                  <c:v>44760</c:v>
                </c:pt>
                <c:pt idx="107">
                  <c:v>44761</c:v>
                </c:pt>
                <c:pt idx="108">
                  <c:v>44764</c:v>
                </c:pt>
                <c:pt idx="109">
                  <c:v>44770</c:v>
                </c:pt>
                <c:pt idx="110">
                  <c:v>44772</c:v>
                </c:pt>
                <c:pt idx="111">
                  <c:v>44774</c:v>
                </c:pt>
                <c:pt idx="112">
                  <c:v>44778</c:v>
                </c:pt>
                <c:pt idx="113">
                  <c:v>44780</c:v>
                </c:pt>
                <c:pt idx="114">
                  <c:v>44781</c:v>
                </c:pt>
                <c:pt idx="115">
                  <c:v>44783</c:v>
                </c:pt>
                <c:pt idx="116">
                  <c:v>44784</c:v>
                </c:pt>
                <c:pt idx="117">
                  <c:v>44787</c:v>
                </c:pt>
                <c:pt idx="118">
                  <c:v>44791</c:v>
                </c:pt>
                <c:pt idx="119">
                  <c:v>44795</c:v>
                </c:pt>
                <c:pt idx="120">
                  <c:v>44796</c:v>
                </c:pt>
                <c:pt idx="121">
                  <c:v>44797</c:v>
                </c:pt>
                <c:pt idx="122">
                  <c:v>44799</c:v>
                </c:pt>
                <c:pt idx="123">
                  <c:v>44804</c:v>
                </c:pt>
                <c:pt idx="124">
                  <c:v>44808</c:v>
                </c:pt>
                <c:pt idx="125">
                  <c:v>44809</c:v>
                </c:pt>
                <c:pt idx="126">
                  <c:v>44811</c:v>
                </c:pt>
                <c:pt idx="127">
                  <c:v>44813</c:v>
                </c:pt>
                <c:pt idx="128">
                  <c:v>44817</c:v>
                </c:pt>
                <c:pt idx="129">
                  <c:v>44819</c:v>
                </c:pt>
                <c:pt idx="130">
                  <c:v>44820</c:v>
                </c:pt>
                <c:pt idx="131">
                  <c:v>44822</c:v>
                </c:pt>
                <c:pt idx="132">
                  <c:v>44825</c:v>
                </c:pt>
                <c:pt idx="133">
                  <c:v>44829</c:v>
                </c:pt>
                <c:pt idx="134">
                  <c:v>44834</c:v>
                </c:pt>
                <c:pt idx="135">
                  <c:v>44835</c:v>
                </c:pt>
                <c:pt idx="136">
                  <c:v>44838</c:v>
                </c:pt>
                <c:pt idx="137">
                  <c:v>44840</c:v>
                </c:pt>
                <c:pt idx="138">
                  <c:v>44844</c:v>
                </c:pt>
                <c:pt idx="139">
                  <c:v>44853</c:v>
                </c:pt>
                <c:pt idx="140">
                  <c:v>44861</c:v>
                </c:pt>
                <c:pt idx="141">
                  <c:v>44864</c:v>
                </c:pt>
                <c:pt idx="142">
                  <c:v>44866</c:v>
                </c:pt>
                <c:pt idx="143">
                  <c:v>44870</c:v>
                </c:pt>
                <c:pt idx="144">
                  <c:v>44873</c:v>
                </c:pt>
                <c:pt idx="145">
                  <c:v>44878</c:v>
                </c:pt>
                <c:pt idx="146">
                  <c:v>44880</c:v>
                </c:pt>
                <c:pt idx="147">
                  <c:v>44887</c:v>
                </c:pt>
                <c:pt idx="148">
                  <c:v>44891</c:v>
                </c:pt>
                <c:pt idx="149">
                  <c:v>44896</c:v>
                </c:pt>
                <c:pt idx="150">
                  <c:v>44902</c:v>
                </c:pt>
                <c:pt idx="151">
                  <c:v>44907</c:v>
                </c:pt>
                <c:pt idx="152">
                  <c:v>44909</c:v>
                </c:pt>
                <c:pt idx="153">
                  <c:v>44912</c:v>
                </c:pt>
                <c:pt idx="154">
                  <c:v>44915</c:v>
                </c:pt>
                <c:pt idx="155">
                  <c:v>44928</c:v>
                </c:pt>
                <c:pt idx="156">
                  <c:v>44935</c:v>
                </c:pt>
                <c:pt idx="157">
                  <c:v>44936</c:v>
                </c:pt>
                <c:pt idx="158">
                  <c:v>44937</c:v>
                </c:pt>
                <c:pt idx="159">
                  <c:v>44938</c:v>
                </c:pt>
                <c:pt idx="160">
                  <c:v>44939</c:v>
                </c:pt>
                <c:pt idx="161">
                  <c:v>44941</c:v>
                </c:pt>
                <c:pt idx="162">
                  <c:v>44943</c:v>
                </c:pt>
                <c:pt idx="163">
                  <c:v>44947</c:v>
                </c:pt>
                <c:pt idx="164">
                  <c:v>44952</c:v>
                </c:pt>
                <c:pt idx="165">
                  <c:v>44955</c:v>
                </c:pt>
                <c:pt idx="166">
                  <c:v>44958</c:v>
                </c:pt>
                <c:pt idx="167">
                  <c:v>44960</c:v>
                </c:pt>
                <c:pt idx="168">
                  <c:v>44963</c:v>
                </c:pt>
                <c:pt idx="169">
                  <c:v>44965</c:v>
                </c:pt>
                <c:pt idx="170">
                  <c:v>44967</c:v>
                </c:pt>
                <c:pt idx="171">
                  <c:v>44969</c:v>
                </c:pt>
                <c:pt idx="172">
                  <c:v>44971</c:v>
                </c:pt>
                <c:pt idx="173">
                  <c:v>44972</c:v>
                </c:pt>
                <c:pt idx="174">
                  <c:v>44973</c:v>
                </c:pt>
                <c:pt idx="175">
                  <c:v>44978</c:v>
                </c:pt>
                <c:pt idx="176">
                  <c:v>44980</c:v>
                </c:pt>
                <c:pt idx="177">
                  <c:v>44985</c:v>
                </c:pt>
                <c:pt idx="178">
                  <c:v>44990</c:v>
                </c:pt>
                <c:pt idx="179">
                  <c:v>44993</c:v>
                </c:pt>
                <c:pt idx="180">
                  <c:v>44998</c:v>
                </c:pt>
                <c:pt idx="181">
                  <c:v>44999</c:v>
                </c:pt>
                <c:pt idx="182">
                  <c:v>45005</c:v>
                </c:pt>
                <c:pt idx="183">
                  <c:v>45007</c:v>
                </c:pt>
                <c:pt idx="184">
                  <c:v>45011</c:v>
                </c:pt>
                <c:pt idx="185">
                  <c:v>45015</c:v>
                </c:pt>
                <c:pt idx="186">
                  <c:v>45020</c:v>
                </c:pt>
                <c:pt idx="187">
                  <c:v>45026</c:v>
                </c:pt>
                <c:pt idx="188">
                  <c:v>45029</c:v>
                </c:pt>
                <c:pt idx="189">
                  <c:v>45033</c:v>
                </c:pt>
                <c:pt idx="190">
                  <c:v>45043</c:v>
                </c:pt>
                <c:pt idx="191">
                  <c:v>45061</c:v>
                </c:pt>
                <c:pt idx="192">
                  <c:v>45068</c:v>
                </c:pt>
              </c:numCache>
            </c:numRef>
          </c:cat>
          <c:val>
            <c:numRef>
              <c:f>DefiCake!$E$32:$E$245</c:f>
              <c:numCache>
                <c:formatCode>0.00</c:formatCode>
                <c:ptCount val="214"/>
                <c:pt idx="0">
                  <c:v>234.74178403755869</c:v>
                </c:pt>
                <c:pt idx="1">
                  <c:v>237.08920187793427</c:v>
                </c:pt>
                <c:pt idx="2">
                  <c:v>224.41314553990611</c:v>
                </c:pt>
                <c:pt idx="3">
                  <c:v>226.05633802816902</c:v>
                </c:pt>
                <c:pt idx="4">
                  <c:v>227.69953051643193</c:v>
                </c:pt>
                <c:pt idx="5">
                  <c:v>235.68075117370893</c:v>
                </c:pt>
                <c:pt idx="6">
                  <c:v>223.47417840375587</c:v>
                </c:pt>
                <c:pt idx="7">
                  <c:v>219.06103286384976</c:v>
                </c:pt>
                <c:pt idx="8">
                  <c:v>221.83098591549296</c:v>
                </c:pt>
                <c:pt idx="9">
                  <c:v>224.55399061032864</c:v>
                </c:pt>
                <c:pt idx="10">
                  <c:v>220.65727699530518</c:v>
                </c:pt>
                <c:pt idx="11">
                  <c:v>220.65727699530518</c:v>
                </c:pt>
                <c:pt idx="12">
                  <c:v>221.29107981220659</c:v>
                </c:pt>
                <c:pt idx="13">
                  <c:v>214.08450704225353</c:v>
                </c:pt>
                <c:pt idx="14">
                  <c:v>222.06572769953053</c:v>
                </c:pt>
                <c:pt idx="15">
                  <c:v>230.04694835680752</c:v>
                </c:pt>
                <c:pt idx="16">
                  <c:v>239.43661971830986</c:v>
                </c:pt>
                <c:pt idx="17">
                  <c:v>239.90610328638499</c:v>
                </c:pt>
                <c:pt idx="18">
                  <c:v>237.55868544600941</c:v>
                </c:pt>
                <c:pt idx="19">
                  <c:v>234.74178403755869</c:v>
                </c:pt>
                <c:pt idx="20">
                  <c:v>238.02816901408451</c:v>
                </c:pt>
                <c:pt idx="21">
                  <c:v>225.35211267605635</c:v>
                </c:pt>
                <c:pt idx="22">
                  <c:v>221.28169014084509</c:v>
                </c:pt>
                <c:pt idx="23">
                  <c:v>223.00469483568077</c:v>
                </c:pt>
                <c:pt idx="24">
                  <c:v>222.30046948356809</c:v>
                </c:pt>
                <c:pt idx="25">
                  <c:v>221.2206572769953</c:v>
                </c:pt>
                <c:pt idx="26">
                  <c:v>220.65727699530518</c:v>
                </c:pt>
                <c:pt idx="27">
                  <c:v>219.48356807511738</c:v>
                </c:pt>
                <c:pt idx="28">
                  <c:v>218.30985915492957</c:v>
                </c:pt>
                <c:pt idx="29">
                  <c:v>215.02347417840377</c:v>
                </c:pt>
                <c:pt idx="30">
                  <c:v>204.22535211267606</c:v>
                </c:pt>
                <c:pt idx="31">
                  <c:v>201.40845070422534</c:v>
                </c:pt>
                <c:pt idx="32">
                  <c:v>198.59154929577466</c:v>
                </c:pt>
                <c:pt idx="33">
                  <c:v>196.24413145539907</c:v>
                </c:pt>
                <c:pt idx="34">
                  <c:v>198.12206572769952</c:v>
                </c:pt>
                <c:pt idx="35">
                  <c:v>200.93896713615024</c:v>
                </c:pt>
                <c:pt idx="36">
                  <c:v>204.69483568075117</c:v>
                </c:pt>
                <c:pt idx="37">
                  <c:v>201.12676056338029</c:v>
                </c:pt>
                <c:pt idx="38">
                  <c:v>201.87793427230048</c:v>
                </c:pt>
                <c:pt idx="39">
                  <c:v>203.42723004694835</c:v>
                </c:pt>
                <c:pt idx="40">
                  <c:v>201.87793427230048</c:v>
                </c:pt>
                <c:pt idx="41">
                  <c:v>197.65258215962442</c:v>
                </c:pt>
                <c:pt idx="42">
                  <c:v>197.65258215962442</c:v>
                </c:pt>
                <c:pt idx="43">
                  <c:v>197.65258215962442</c:v>
                </c:pt>
                <c:pt idx="44">
                  <c:v>202.81690140845072</c:v>
                </c:pt>
                <c:pt idx="45">
                  <c:v>173.70892018779344</c:v>
                </c:pt>
                <c:pt idx="46">
                  <c:v>169.01408450704227</c:v>
                </c:pt>
                <c:pt idx="47">
                  <c:v>165.25821596244131</c:v>
                </c:pt>
                <c:pt idx="48">
                  <c:v>169.01408450704227</c:v>
                </c:pt>
                <c:pt idx="49">
                  <c:v>175.35211267605635</c:v>
                </c:pt>
                <c:pt idx="50">
                  <c:v>176.99530516431926</c:v>
                </c:pt>
                <c:pt idx="51">
                  <c:v>176.99530516431926</c:v>
                </c:pt>
                <c:pt idx="52">
                  <c:v>173.70892018779344</c:v>
                </c:pt>
                <c:pt idx="53">
                  <c:v>176.99530516431926</c:v>
                </c:pt>
                <c:pt idx="54">
                  <c:v>178.40375586854461</c:v>
                </c:pt>
                <c:pt idx="55">
                  <c:v>176.99530516431926</c:v>
                </c:pt>
                <c:pt idx="56">
                  <c:v>180.75117370892019</c:v>
                </c:pt>
                <c:pt idx="57">
                  <c:v>173.70892018779344</c:v>
                </c:pt>
                <c:pt idx="58">
                  <c:v>173.70892018779344</c:v>
                </c:pt>
                <c:pt idx="59">
                  <c:v>173.70892018779344</c:v>
                </c:pt>
                <c:pt idx="60">
                  <c:v>187.79342723004694</c:v>
                </c:pt>
                <c:pt idx="61">
                  <c:v>194.83568075117373</c:v>
                </c:pt>
                <c:pt idx="62">
                  <c:v>200</c:v>
                </c:pt>
                <c:pt idx="63">
                  <c:v>200.93896713615024</c:v>
                </c:pt>
                <c:pt idx="64">
                  <c:v>206.57276995305165</c:v>
                </c:pt>
                <c:pt idx="65">
                  <c:v>211.26760563380282</c:v>
                </c:pt>
                <c:pt idx="66">
                  <c:v>204.69483568075117</c:v>
                </c:pt>
                <c:pt idx="67">
                  <c:v>198.59154929577466</c:v>
                </c:pt>
                <c:pt idx="68">
                  <c:v>199.53051643192489</c:v>
                </c:pt>
                <c:pt idx="69">
                  <c:v>197.18309859154931</c:v>
                </c:pt>
                <c:pt idx="70">
                  <c:v>207.04225352112675</c:v>
                </c:pt>
                <c:pt idx="71">
                  <c:v>204.22535211267606</c:v>
                </c:pt>
                <c:pt idx="72">
                  <c:v>197.18309859154931</c:v>
                </c:pt>
                <c:pt idx="73">
                  <c:v>188.73239436619718</c:v>
                </c:pt>
                <c:pt idx="74">
                  <c:v>187.79342723004694</c:v>
                </c:pt>
                <c:pt idx="75">
                  <c:v>179.81220657276995</c:v>
                </c:pt>
                <c:pt idx="76">
                  <c:v>183.09859154929578</c:v>
                </c:pt>
                <c:pt idx="77">
                  <c:v>178.40375586854461</c:v>
                </c:pt>
                <c:pt idx="78">
                  <c:v>187.79342723004694</c:v>
                </c:pt>
                <c:pt idx="79">
                  <c:v>196.71361502347418</c:v>
                </c:pt>
                <c:pt idx="80">
                  <c:v>223.00469483568077</c:v>
                </c:pt>
                <c:pt idx="81">
                  <c:v>214.55399061032864</c:v>
                </c:pt>
                <c:pt idx="82">
                  <c:v>212.67605633802816</c:v>
                </c:pt>
                <c:pt idx="83">
                  <c:v>199.53051643192489</c:v>
                </c:pt>
                <c:pt idx="84">
                  <c:v>194.83568075117373</c:v>
                </c:pt>
                <c:pt idx="85">
                  <c:v>192.48826291079811</c:v>
                </c:pt>
                <c:pt idx="86">
                  <c:v>190.14084507042253</c:v>
                </c:pt>
                <c:pt idx="87">
                  <c:v>191.924882629108</c:v>
                </c:pt>
                <c:pt idx="88">
                  <c:v>194.83568075117373</c:v>
                </c:pt>
                <c:pt idx="89">
                  <c:v>196.24413145539907</c:v>
                </c:pt>
                <c:pt idx="90">
                  <c:v>196.24413145539907</c:v>
                </c:pt>
                <c:pt idx="91">
                  <c:v>140.8450704225352</c:v>
                </c:pt>
                <c:pt idx="92">
                  <c:v>84.507042253521135</c:v>
                </c:pt>
                <c:pt idx="93">
                  <c:v>96.244131455399057</c:v>
                </c:pt>
                <c:pt idx="94">
                  <c:v>97.652582159624416</c:v>
                </c:pt>
                <c:pt idx="95">
                  <c:v>100.93896713615024</c:v>
                </c:pt>
                <c:pt idx="96">
                  <c:v>95.02347417840376</c:v>
                </c:pt>
                <c:pt idx="97">
                  <c:v>89.671361502347423</c:v>
                </c:pt>
                <c:pt idx="98">
                  <c:v>91.079812206572768</c:v>
                </c:pt>
                <c:pt idx="99">
                  <c:v>94.835680751173712</c:v>
                </c:pt>
                <c:pt idx="100">
                  <c:v>100.93896713615024</c:v>
                </c:pt>
                <c:pt idx="101">
                  <c:v>100.09389671361502</c:v>
                </c:pt>
                <c:pt idx="102">
                  <c:v>95.117370892018783</c:v>
                </c:pt>
                <c:pt idx="103">
                  <c:v>96.244131455399057</c:v>
                </c:pt>
                <c:pt idx="104">
                  <c:v>97.652582159624416</c:v>
                </c:pt>
                <c:pt idx="105">
                  <c:v>99.53051643192488</c:v>
                </c:pt>
                <c:pt idx="106">
                  <c:v>105.16431924882629</c:v>
                </c:pt>
                <c:pt idx="107">
                  <c:v>109.38967136150235</c:v>
                </c:pt>
                <c:pt idx="108">
                  <c:v>107.98122065727699</c:v>
                </c:pt>
                <c:pt idx="109">
                  <c:v>112.20657276995306</c:v>
                </c:pt>
                <c:pt idx="110">
                  <c:v>115.02347417840376</c:v>
                </c:pt>
                <c:pt idx="111">
                  <c:v>109.6244131455399</c:v>
                </c:pt>
                <c:pt idx="112">
                  <c:v>107.04225352112677</c:v>
                </c:pt>
                <c:pt idx="113">
                  <c:v>108.92018779342723</c:v>
                </c:pt>
                <c:pt idx="114">
                  <c:v>111.97183098591549</c:v>
                </c:pt>
                <c:pt idx="115">
                  <c:v>112.67605633802818</c:v>
                </c:pt>
                <c:pt idx="116">
                  <c:v>113.47417840375587</c:v>
                </c:pt>
                <c:pt idx="117">
                  <c:v>115.02347417840376</c:v>
                </c:pt>
                <c:pt idx="118">
                  <c:v>110.32863849765259</c:v>
                </c:pt>
                <c:pt idx="119">
                  <c:v>98.591549295774655</c:v>
                </c:pt>
                <c:pt idx="120">
                  <c:v>100.93896713615024</c:v>
                </c:pt>
                <c:pt idx="121">
                  <c:v>100.93896713615024</c:v>
                </c:pt>
                <c:pt idx="122">
                  <c:v>101.87793427230048</c:v>
                </c:pt>
                <c:pt idx="123">
                  <c:v>94.366197183098592</c:v>
                </c:pt>
                <c:pt idx="124">
                  <c:v>92.957746478873247</c:v>
                </c:pt>
                <c:pt idx="125">
                  <c:v>93.1924882629108</c:v>
                </c:pt>
                <c:pt idx="126">
                  <c:v>91.079812206572768</c:v>
                </c:pt>
                <c:pt idx="127">
                  <c:v>99.061032863849761</c:v>
                </c:pt>
                <c:pt idx="128">
                  <c:v>97.652582159624416</c:v>
                </c:pt>
                <c:pt idx="129">
                  <c:v>92.72300469483568</c:v>
                </c:pt>
                <c:pt idx="130">
                  <c:v>92.957746478873247</c:v>
                </c:pt>
                <c:pt idx="131">
                  <c:v>92.488262910798127</c:v>
                </c:pt>
                <c:pt idx="132">
                  <c:v>89.8075117370892</c:v>
                </c:pt>
                <c:pt idx="133">
                  <c:v>89.201877934272304</c:v>
                </c:pt>
                <c:pt idx="134">
                  <c:v>91.549295774647888</c:v>
                </c:pt>
                <c:pt idx="135">
                  <c:v>90.610328638497649</c:v>
                </c:pt>
                <c:pt idx="136">
                  <c:v>94.354024808989664</c:v>
                </c:pt>
                <c:pt idx="137">
                  <c:v>95.212371243899995</c:v>
                </c:pt>
                <c:pt idx="138">
                  <c:v>89.731431573638503</c:v>
                </c:pt>
                <c:pt idx="139">
                  <c:v>90.140845070422543</c:v>
                </c:pt>
                <c:pt idx="140">
                  <c:v>96.619718309859152</c:v>
                </c:pt>
                <c:pt idx="141">
                  <c:v>97.183098591549296</c:v>
                </c:pt>
                <c:pt idx="142">
                  <c:v>96.399061032863855</c:v>
                </c:pt>
                <c:pt idx="143">
                  <c:v>99.953051643192495</c:v>
                </c:pt>
                <c:pt idx="144">
                  <c:v>92.391094516496722</c:v>
                </c:pt>
                <c:pt idx="145">
                  <c:v>77.699530516431921</c:v>
                </c:pt>
                <c:pt idx="146">
                  <c:v>78.403755868544607</c:v>
                </c:pt>
                <c:pt idx="147">
                  <c:v>75.821596244131456</c:v>
                </c:pt>
                <c:pt idx="148">
                  <c:v>77.305164319248831</c:v>
                </c:pt>
                <c:pt idx="149">
                  <c:v>80.187793427230048</c:v>
                </c:pt>
                <c:pt idx="150">
                  <c:v>78.868544600938975</c:v>
                </c:pt>
                <c:pt idx="151">
                  <c:v>80.563380281690144</c:v>
                </c:pt>
                <c:pt idx="152">
                  <c:v>83.671361502347423</c:v>
                </c:pt>
                <c:pt idx="153">
                  <c:v>78.450704225352112</c:v>
                </c:pt>
                <c:pt idx="154">
                  <c:v>79.061032863849761</c:v>
                </c:pt>
                <c:pt idx="155">
                  <c:v>78.544600938967136</c:v>
                </c:pt>
                <c:pt idx="156">
                  <c:v>80.281690140845072</c:v>
                </c:pt>
                <c:pt idx="157">
                  <c:v>81.070422535211264</c:v>
                </c:pt>
                <c:pt idx="158">
                  <c:v>82.394366197183103</c:v>
                </c:pt>
                <c:pt idx="159">
                  <c:v>88.63849765258216</c:v>
                </c:pt>
                <c:pt idx="160">
                  <c:v>90.845070422535215</c:v>
                </c:pt>
                <c:pt idx="161">
                  <c:v>98.591549295774655</c:v>
                </c:pt>
                <c:pt idx="162">
                  <c:v>99.436619718309856</c:v>
                </c:pt>
                <c:pt idx="163">
                  <c:v>107.3943661971831</c:v>
                </c:pt>
                <c:pt idx="164">
                  <c:v>107.98122065727699</c:v>
                </c:pt>
                <c:pt idx="165">
                  <c:v>110.32863849765259</c:v>
                </c:pt>
                <c:pt idx="166">
                  <c:v>109.85915492957747</c:v>
                </c:pt>
                <c:pt idx="167">
                  <c:v>109.85915492957747</c:v>
                </c:pt>
                <c:pt idx="168">
                  <c:v>107.89652087072113</c:v>
                </c:pt>
                <c:pt idx="169">
                  <c:v>108.85426734959437</c:v>
                </c:pt>
                <c:pt idx="170">
                  <c:v>102.58666171579155</c:v>
                </c:pt>
                <c:pt idx="171">
                  <c:v>102.21107486133145</c:v>
                </c:pt>
                <c:pt idx="172">
                  <c:v>102.57796957116338</c:v>
                </c:pt>
                <c:pt idx="173">
                  <c:v>113.64186551758404</c:v>
                </c:pt>
                <c:pt idx="174">
                  <c:v>116.02042535376526</c:v>
                </c:pt>
                <c:pt idx="175">
                  <c:v>116.02042535376526</c:v>
                </c:pt>
                <c:pt idx="176">
                  <c:v>113.85141126925822</c:v>
                </c:pt>
                <c:pt idx="177">
                  <c:v>109.7199558701972</c:v>
                </c:pt>
                <c:pt idx="178">
                  <c:v>105.16431924882629</c:v>
                </c:pt>
                <c:pt idx="179">
                  <c:v>103.75586854460094</c:v>
                </c:pt>
                <c:pt idx="180">
                  <c:v>103.75586854460094</c:v>
                </c:pt>
                <c:pt idx="181">
                  <c:v>114.78873239436621</c:v>
                </c:pt>
                <c:pt idx="182">
                  <c:v>128.16901408450704</c:v>
                </c:pt>
                <c:pt idx="183">
                  <c:v>132.06572769953053</c:v>
                </c:pt>
                <c:pt idx="184">
                  <c:v>128.93818328858123</c:v>
                </c:pt>
                <c:pt idx="185">
                  <c:v>134.74569502567044</c:v>
                </c:pt>
                <c:pt idx="186">
                  <c:v>130.95762168207654</c:v>
                </c:pt>
                <c:pt idx="187">
                  <c:v>137.12181888124366</c:v>
                </c:pt>
                <c:pt idx="188">
                  <c:v>142.50415410921502</c:v>
                </c:pt>
                <c:pt idx="189">
                  <c:v>142.55579730170331</c:v>
                </c:pt>
                <c:pt idx="190">
                  <c:v>135.91549295774649</c:v>
                </c:pt>
                <c:pt idx="191">
                  <c:v>128.47887323943661</c:v>
                </c:pt>
                <c:pt idx="192">
                  <c:v>125.82159624413146</c:v>
                </c:pt>
              </c:numCache>
            </c:numRef>
          </c:val>
        </c:ser>
        <c:marker val="1"/>
        <c:axId val="75580928"/>
        <c:axId val="75582848"/>
      </c:lineChart>
      <c:dateAx>
        <c:axId val="75580928"/>
        <c:scaling>
          <c:orientation val="minMax"/>
        </c:scaling>
        <c:axPos val="b"/>
        <c:numFmt formatCode="dd/mm/yy;@" sourceLinked="1"/>
        <c:majorTickMark val="none"/>
        <c:tickLblPos val="nextTo"/>
        <c:crossAx val="75582848"/>
        <c:crosses val="autoZero"/>
        <c:lblOffset val="100"/>
      </c:dateAx>
      <c:valAx>
        <c:axId val="75582848"/>
        <c:scaling>
          <c:orientation val="minMax"/>
        </c:scaling>
        <c:axPos val="l"/>
        <c:majorGridlines/>
        <c:numFmt formatCode="0.00" sourceLinked="1"/>
        <c:majorTickMark val="none"/>
        <c:tickLblPos val="nextTo"/>
        <c:crossAx val="75580928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347382</xdr:colOff>
      <xdr:row>3</xdr:row>
      <xdr:rowOff>156883</xdr:rowOff>
    </xdr:from>
    <xdr:to>
      <xdr:col>31</xdr:col>
      <xdr:colOff>22412</xdr:colOff>
      <xdr:row>29</xdr:row>
      <xdr:rowOff>19300</xdr:rowOff>
    </xdr:to>
    <xdr:graphicFrame macro="">
      <xdr:nvGraphicFramePr>
        <xdr:cNvPr id="0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U42"/>
  <sheetViews>
    <sheetView topLeftCell="A4" workbookViewId="0">
      <selection activeCell="B13" sqref="B13"/>
    </sheetView>
  </sheetViews>
  <sheetFormatPr baseColWidth="10" defaultColWidth="9.140625" defaultRowHeight="15"/>
  <cols>
    <col min="3" max="3" width="12" style="14" bestFit="1" customWidth="1"/>
    <col min="4" max="4" width="12.28515625" style="14" bestFit="1" customWidth="1"/>
    <col min="7" max="7" width="10.5703125" style="14" bestFit="1" customWidth="1"/>
    <col min="9" max="9" width="12.42578125" style="14" bestFit="1" customWidth="1"/>
    <col min="10" max="10" width="10.5703125" style="14" bestFit="1" customWidth="1"/>
    <col min="14" max="14" width="12" style="14" bestFit="1" customWidth="1"/>
    <col min="15" max="15" width="11.5703125" style="14" bestFit="1" customWidth="1"/>
    <col min="19" max="20" width="10.5703125" style="14" bestFit="1" customWidth="1"/>
  </cols>
  <sheetData>
    <row r="2" spans="2:20">
      <c r="N2" t="s">
        <v>0</v>
      </c>
      <c r="O2" t="s">
        <v>1</v>
      </c>
      <c r="P2" t="s">
        <v>2</v>
      </c>
    </row>
    <row r="3" spans="2:20">
      <c r="I3" t="s">
        <v>3</v>
      </c>
      <c r="J3" s="37">
        <v>1848.6981902367991</v>
      </c>
      <c r="M3" t="s">
        <v>4</v>
      </c>
      <c r="N3">
        <f>(INDEX(N5:N29,MATCH(MAX(O18,O10),O5:O29,0))/0.9)</f>
        <v>5.1611111111111111E-3</v>
      </c>
      <c r="O3" s="38">
        <f>(MAX(O18,O10)*0.85)</f>
        <v>1364.25</v>
      </c>
      <c r="P3" s="23">
        <f>(O3*N3)</f>
        <v>7.0410458333333334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7">
        <f>(B42*J3)</f>
        <v>889.23176041913621</v>
      </c>
      <c r="K4" s="4">
        <f>(J4/D42-1)</f>
        <v>-0.34774487189136638</v>
      </c>
      <c r="R4" t="s">
        <v>5</v>
      </c>
      <c r="S4" t="s">
        <v>6</v>
      </c>
      <c r="T4" t="s">
        <v>7</v>
      </c>
    </row>
    <row r="5" spans="2:20">
      <c r="B5" s="24">
        <v>0.25</v>
      </c>
      <c r="C5" s="38">
        <v>4000</v>
      </c>
      <c r="D5" s="23">
        <f t="shared" ref="D5:D19" si="0">B5*C5</f>
        <v>1000</v>
      </c>
      <c r="N5" t="s">
        <v>0</v>
      </c>
      <c r="O5" t="s">
        <v>1</v>
      </c>
      <c r="P5" t="s">
        <v>2</v>
      </c>
      <c r="R5" s="24">
        <f>(B5)</f>
        <v>0.25</v>
      </c>
      <c r="S5" s="38">
        <v>4000</v>
      </c>
      <c r="T5" s="23">
        <f>(R5*S5)</f>
        <v>1000</v>
      </c>
    </row>
    <row r="6" spans="2:20">
      <c r="B6" s="24">
        <v>5.9999999999999995E-4</v>
      </c>
      <c r="C6" s="38">
        <v>3950</v>
      </c>
      <c r="D6" s="23">
        <f t="shared" si="0"/>
        <v>2.3699999999999997</v>
      </c>
      <c r="M6" t="s">
        <v>4</v>
      </c>
      <c r="N6" s="38">
        <f>(MIN(C5,C6,C7,C18:C25)*2)</f>
        <v>2335.3573096683795</v>
      </c>
      <c r="O6">
        <f>(INDEX(B5:B25,MATCH(N6/2,C5:C25,0)))</f>
        <v>1.2E-2</v>
      </c>
      <c r="P6" s="23">
        <f>(N6*O6/2)</f>
        <v>14.012143858010276</v>
      </c>
      <c r="R6" s="24">
        <f>(B6)</f>
        <v>5.9999999999999995E-4</v>
      </c>
      <c r="S6" s="38">
        <v>3950</v>
      </c>
      <c r="T6" s="23">
        <f>(R6*S6)</f>
        <v>2.3699999999999997</v>
      </c>
    </row>
    <row r="7" spans="2:20">
      <c r="B7" s="24">
        <v>3.3999999999999998E-3</v>
      </c>
      <c r="C7" s="38">
        <v>3428</v>
      </c>
      <c r="D7" s="23">
        <f t="shared" si="0"/>
        <v>11.655199999999999</v>
      </c>
      <c r="F7" t="s">
        <v>9</v>
      </c>
      <c r="G7" s="37">
        <f>(D42/B42)</f>
        <v>2834.317601453793</v>
      </c>
      <c r="R7" s="24">
        <f>(B7)</f>
        <v>3.3999999999999998E-3</v>
      </c>
      <c r="S7" s="38">
        <v>3428</v>
      </c>
      <c r="T7" s="23">
        <f>(R7*S7)</f>
        <v>11.655199999999999</v>
      </c>
    </row>
    <row r="8" spans="2:20">
      <c r="B8" s="24">
        <v>-7.6E-3</v>
      </c>
      <c r="C8" s="37">
        <v>3216.89</v>
      </c>
      <c r="D8" s="23">
        <f t="shared" si="0"/>
        <v>-24.448363999999998</v>
      </c>
      <c r="R8" s="24">
        <f>(B11+B10+B9+B8)</f>
        <v>1.5000000000000005E-3</v>
      </c>
      <c r="S8" s="37">
        <v>0</v>
      </c>
      <c r="T8" s="23">
        <f>(D11+D10+D9+D8)</f>
        <v>-0.15687200000000345</v>
      </c>
    </row>
    <row r="9" spans="2:20">
      <c r="B9" s="24">
        <v>-7.6E-3</v>
      </c>
      <c r="C9" s="37">
        <v>3214.67</v>
      </c>
      <c r="D9" s="23">
        <f t="shared" si="0"/>
        <v>-24.431492000000002</v>
      </c>
      <c r="M9" t="s">
        <v>10</v>
      </c>
      <c r="N9" t="s">
        <v>0</v>
      </c>
      <c r="O9" t="s">
        <v>1</v>
      </c>
      <c r="P9" t="s">
        <v>2</v>
      </c>
      <c r="R9" s="24">
        <f>(B12)</f>
        <v>3.8777199999999999E-3</v>
      </c>
      <c r="S9" s="37">
        <v>0</v>
      </c>
      <c r="T9" s="23">
        <f>(R9*S9)</f>
        <v>0</v>
      </c>
    </row>
    <row r="10" spans="2:20">
      <c r="B10" s="24">
        <v>-7.6E-3</v>
      </c>
      <c r="C10" s="37">
        <v>3213.16</v>
      </c>
      <c r="D10" s="23">
        <f t="shared" si="0"/>
        <v>-24.420016</v>
      </c>
      <c r="M10" t="s">
        <v>11</v>
      </c>
      <c r="N10">
        <f>(-B39)</f>
        <v>4.6449999999999998E-3</v>
      </c>
      <c r="O10" s="38">
        <f>(C39)</f>
        <v>1605</v>
      </c>
      <c r="P10" s="23">
        <f>(O10*N10)</f>
        <v>7.4552249999999995</v>
      </c>
      <c r="Q10" t="s">
        <v>12</v>
      </c>
      <c r="R10" s="24">
        <f>(SUM(B13:B20))</f>
        <v>1.6904289999999999E-2</v>
      </c>
      <c r="S10" s="38">
        <f>(T10/R10)</f>
        <v>267.31751240569082</v>
      </c>
      <c r="T10" s="23">
        <f>(SUM(D13:D20))</f>
        <v>4.5188127517843952</v>
      </c>
    </row>
    <row r="11" spans="2:20">
      <c r="B11" s="24">
        <v>2.4299999999999999E-2</v>
      </c>
      <c r="C11" s="38">
        <v>3010</v>
      </c>
      <c r="D11" s="23">
        <f t="shared" si="0"/>
        <v>73.143000000000001</v>
      </c>
      <c r="I11" t="s">
        <v>11</v>
      </c>
      <c r="J11">
        <v>0.5</v>
      </c>
      <c r="N11">
        <f>(2*($R$18+N10)/5-N10)</f>
        <v>3.0207000000000001E-2</v>
      </c>
      <c r="O11" s="38">
        <f>($S$18*Params!K16)</f>
        <v>3217.4893956476935</v>
      </c>
      <c r="P11" s="23">
        <f>(O11*N11)</f>
        <v>97.190702174329886</v>
      </c>
      <c r="R11" s="24">
        <f>(B21)</f>
        <v>0.01</v>
      </c>
      <c r="S11" s="38">
        <v>1895</v>
      </c>
      <c r="T11" s="23">
        <f>(R11*S11)</f>
        <v>18.95</v>
      </c>
    </row>
    <row r="12" spans="2:20">
      <c r="B12" s="25">
        <v>3.8777199999999999E-3</v>
      </c>
      <c r="C12" s="39">
        <v>0</v>
      </c>
      <c r="D12" s="26">
        <f t="shared" si="0"/>
        <v>0</v>
      </c>
      <c r="E12" s="37">
        <f>(B12*J3)</f>
        <v>7.1687339462450401</v>
      </c>
      <c r="I12" t="s">
        <v>13</v>
      </c>
      <c r="J12">
        <f>(J11-B42)</f>
        <v>1.899571000000011E-2</v>
      </c>
      <c r="N12">
        <f>($B$35/5)</f>
        <v>1.7426000000000001E-2</v>
      </c>
      <c r="O12" s="38">
        <f>($S$18*Params!K17)</f>
        <v>6434.9787912953871</v>
      </c>
      <c r="P12" s="23">
        <f>(O12*N12)</f>
        <v>112.13594041711342</v>
      </c>
      <c r="R12" s="24">
        <f>(B22)</f>
        <v>0.01</v>
      </c>
      <c r="S12" s="38">
        <v>1890.15</v>
      </c>
      <c r="T12" s="23">
        <f>(R12*S12)</f>
        <v>18.901500000000002</v>
      </c>
    </row>
    <row r="13" spans="2:20">
      <c r="B13" s="24">
        <v>-8.0000000000000002E-3</v>
      </c>
      <c r="C13" s="37">
        <v>2340</v>
      </c>
      <c r="D13" s="23">
        <f t="shared" si="0"/>
        <v>-18.72</v>
      </c>
      <c r="I13" t="s">
        <v>14</v>
      </c>
      <c r="J13">
        <f>(J12*J3)</f>
        <v>35.117334699263267</v>
      </c>
      <c r="N13">
        <f>($B$35/5)</f>
        <v>1.7426000000000001E-2</v>
      </c>
      <c r="O13" s="38">
        <f>($S$18*Params!K18)</f>
        <v>12869.957582590774</v>
      </c>
      <c r="P13" s="23">
        <f>(O13*N13)</f>
        <v>224.27188083422683</v>
      </c>
      <c r="R13" s="24">
        <f>(B23)</f>
        <v>4.9950000000000001E-2</v>
      </c>
      <c r="S13" s="38">
        <f>(T13/R13)</f>
        <v>1643.6436436436434</v>
      </c>
      <c r="T13" s="23">
        <f>(82.1)</f>
        <v>82.1</v>
      </c>
    </row>
    <row r="14" spans="2:20">
      <c r="B14" s="24">
        <v>-0.01</v>
      </c>
      <c r="C14" s="37">
        <v>2263</v>
      </c>
      <c r="D14" s="23">
        <f t="shared" si="0"/>
        <v>-22.63</v>
      </c>
      <c r="R14" s="24">
        <f>(B24)</f>
        <v>0.01</v>
      </c>
      <c r="S14" s="38">
        <v>1709</v>
      </c>
      <c r="T14" s="23">
        <f>(S14*R14)</f>
        <v>17.09</v>
      </c>
    </row>
    <row r="15" spans="2:20">
      <c r="B15" s="24">
        <v>-8.9999999999999993E-3</v>
      </c>
      <c r="C15" s="37">
        <v>2114</v>
      </c>
      <c r="D15" s="23">
        <f t="shared" si="0"/>
        <v>-19.026</v>
      </c>
      <c r="P15" s="23">
        <f>(SUM(P10:P13))</f>
        <v>441.05374842567016</v>
      </c>
      <c r="R15" s="24">
        <f>(B25)</f>
        <v>0.01</v>
      </c>
      <c r="S15" s="38">
        <v>1617.3</v>
      </c>
      <c r="T15" s="23">
        <f>(S15*R15)</f>
        <v>16.172999999999998</v>
      </c>
    </row>
    <row r="16" spans="2:20">
      <c r="B16" s="24">
        <v>-8.0000000000000002E-3</v>
      </c>
      <c r="C16" s="37">
        <v>2027.47</v>
      </c>
      <c r="D16" s="23">
        <f t="shared" si="0"/>
        <v>-16.219760000000001</v>
      </c>
      <c r="R16" s="24">
        <f>(SUM(B26:B33))</f>
        <v>0</v>
      </c>
      <c r="S16" s="37">
        <v>0</v>
      </c>
      <c r="T16" s="23">
        <f>(SUM(D26:D33))</f>
        <v>-1.1127000000000002</v>
      </c>
    </row>
    <row r="17" spans="2:21">
      <c r="B17" s="24">
        <v>-8.2000000000000007E-3</v>
      </c>
      <c r="C17" s="37">
        <v>1961</v>
      </c>
      <c r="D17" s="23">
        <f t="shared" si="0"/>
        <v>-16.080200000000001</v>
      </c>
      <c r="M17" t="s">
        <v>15</v>
      </c>
      <c r="N17" t="s">
        <v>0</v>
      </c>
      <c r="O17" t="s">
        <v>1</v>
      </c>
      <c r="P17" t="s">
        <v>2</v>
      </c>
      <c r="R17" s="24">
        <f>(B34)</f>
        <v>-0.01</v>
      </c>
      <c r="S17" s="37">
        <f>(T17/R17)</f>
        <v>1219.326523</v>
      </c>
      <c r="T17" s="23">
        <v>-12.19326523</v>
      </c>
    </row>
    <row r="18" spans="2:21">
      <c r="B18" s="24">
        <v>1.6E-2</v>
      </c>
      <c r="C18" s="38">
        <f>1/0.00048218</f>
        <v>2073.9143058608815</v>
      </c>
      <c r="D18" s="23">
        <f t="shared" si="0"/>
        <v>33.182628893774108</v>
      </c>
      <c r="M18" t="s">
        <v>11</v>
      </c>
      <c r="N18">
        <f>(-B38)</f>
        <v>7.0500000000000001E-4</v>
      </c>
      <c r="O18" s="38">
        <f>(C38)</f>
        <v>1605</v>
      </c>
      <c r="P18" s="23">
        <f>(O18*N18)</f>
        <v>1.1315250000000001</v>
      </c>
      <c r="Q18" t="s">
        <v>12</v>
      </c>
      <c r="R18" s="24">
        <f>(B35+B39)</f>
        <v>8.2485000000000003E-2</v>
      </c>
      <c r="S18" s="38">
        <f>(T18/R18)</f>
        <v>1608.7446978238468</v>
      </c>
      <c r="T18" s="23">
        <f>(D35+1283.68*B39)</f>
        <v>132.6973064</v>
      </c>
      <c r="U18" t="s">
        <v>10</v>
      </c>
    </row>
    <row r="19" spans="2:21">
      <c r="B19" s="24">
        <v>1.2E-2</v>
      </c>
      <c r="C19" s="38">
        <f>1/0.0008564</f>
        <v>1167.6786548341897</v>
      </c>
      <c r="D19" s="23">
        <f t="shared" si="0"/>
        <v>14.012143858010276</v>
      </c>
      <c r="N19">
        <f>(2*($R$19+N18)/5-N18)</f>
        <v>5.9750000000000003E-3</v>
      </c>
      <c r="O19" s="38">
        <f>($S$19*Params!K16)</f>
        <v>3301.6350422006881</v>
      </c>
      <c r="P19" s="23">
        <f>(O19*N19)</f>
        <v>19.727269377149113</v>
      </c>
      <c r="R19" s="24">
        <f>(B36+B38)</f>
        <v>1.5994999999999999E-2</v>
      </c>
      <c r="S19" s="38">
        <f>(T19/R19)</f>
        <v>1650.817521100344</v>
      </c>
      <c r="T19" s="23">
        <f>(D36+1269.75*B38)</f>
        <v>26.404826249999999</v>
      </c>
      <c r="U19" t="s">
        <v>15</v>
      </c>
    </row>
    <row r="20" spans="2:21">
      <c r="B20" s="24">
        <v>3.2104290000000001E-2</v>
      </c>
      <c r="C20" s="38">
        <f>D20/B20</f>
        <v>1557.4242570073968</v>
      </c>
      <c r="D20" s="23">
        <v>50</v>
      </c>
      <c r="N20">
        <f>($B$36/5)</f>
        <v>3.3400000000000001E-3</v>
      </c>
      <c r="O20" s="38">
        <f>($S$19*Params!K17)</f>
        <v>6603.2700844013762</v>
      </c>
      <c r="P20" s="23">
        <f>(O20*N20)</f>
        <v>22.054922081900596</v>
      </c>
      <c r="R20" s="24">
        <f>(B37)</f>
        <v>4.1228E-4</v>
      </c>
      <c r="S20" s="38">
        <f>(C37)</f>
        <v>1212.7680217328029</v>
      </c>
      <c r="T20" s="23">
        <f>(D37)</f>
        <v>0.5</v>
      </c>
    </row>
    <row r="21" spans="2:21">
      <c r="B21" s="24">
        <v>0.01</v>
      </c>
      <c r="C21" s="38">
        <v>1895</v>
      </c>
      <c r="D21" s="23">
        <f>B21*C21</f>
        <v>18.95</v>
      </c>
      <c r="N21">
        <f>($B$36/5)</f>
        <v>3.3400000000000001E-3</v>
      </c>
      <c r="O21" s="38">
        <f>($S$19*Params!K18)</f>
        <v>13206.540168802752</v>
      </c>
      <c r="P21" s="23">
        <f>(O21*N21)</f>
        <v>44.109844163801192</v>
      </c>
      <c r="R21" s="24">
        <f>(B38-B38)</f>
        <v>0</v>
      </c>
      <c r="S21" s="37">
        <v>0</v>
      </c>
      <c r="T21" s="23">
        <f>(1269.75*-B38+D38)</f>
        <v>-0.23635125000000012</v>
      </c>
      <c r="U21" t="s">
        <v>16</v>
      </c>
    </row>
    <row r="22" spans="2:21">
      <c r="B22" s="24">
        <v>0.01</v>
      </c>
      <c r="C22" s="38">
        <v>1890.15</v>
      </c>
      <c r="D22" s="23">
        <f>B22*C22</f>
        <v>18.901500000000002</v>
      </c>
      <c r="R22" s="24">
        <f>(B39-B39)</f>
        <v>0</v>
      </c>
      <c r="S22" s="37">
        <v>0</v>
      </c>
      <c r="T22" s="23">
        <f>(1283.68*-B39+D39)</f>
        <v>-1.4925313999999998</v>
      </c>
      <c r="U22" t="s">
        <v>17</v>
      </c>
    </row>
    <row r="23" spans="2:21">
      <c r="B23" s="24">
        <f>0.05-0.00005</f>
        <v>4.9950000000000001E-2</v>
      </c>
      <c r="C23" s="38">
        <f>D23/B23</f>
        <v>1643.6436436436434</v>
      </c>
      <c r="D23" s="23">
        <f>82.1</f>
        <v>82.1</v>
      </c>
      <c r="P23" s="23">
        <f>(SUM(P18:P21))</f>
        <v>87.023560622850908</v>
      </c>
      <c r="R23" s="24">
        <f>(B40)</f>
        <v>2.588E-2</v>
      </c>
      <c r="S23" s="38">
        <f>(T23/R23)</f>
        <v>1821.8701700154559</v>
      </c>
      <c r="T23" s="23">
        <f>(D40)</f>
        <v>47.15</v>
      </c>
      <c r="U23" t="s">
        <v>18</v>
      </c>
    </row>
    <row r="24" spans="2:21">
      <c r="B24" s="24">
        <v>0.01</v>
      </c>
      <c r="C24" s="38">
        <v>1709</v>
      </c>
      <c r="D24" s="23">
        <f>C24*B24</f>
        <v>17.09</v>
      </c>
    </row>
    <row r="25" spans="2:21">
      <c r="B25" s="24">
        <v>0.01</v>
      </c>
      <c r="C25" s="38">
        <v>1617.3</v>
      </c>
      <c r="D25" s="23">
        <f>(C25*B25)</f>
        <v>16.172999999999998</v>
      </c>
      <c r="N25" t="s">
        <v>0</v>
      </c>
      <c r="O25" t="s">
        <v>1</v>
      </c>
      <c r="P25" t="s">
        <v>2</v>
      </c>
    </row>
    <row r="26" spans="2:21">
      <c r="B26" s="24">
        <v>-0.01</v>
      </c>
      <c r="C26" s="37">
        <v>1530</v>
      </c>
      <c r="D26" s="23">
        <f>(C26*B26)</f>
        <v>-15.3</v>
      </c>
      <c r="M26" t="s">
        <v>11</v>
      </c>
      <c r="N26" s="24">
        <f>($R$20/5)</f>
        <v>8.2455999999999998E-5</v>
      </c>
      <c r="O26" s="38">
        <f>($S$20*Params!K15)</f>
        <v>1819.1520325992044</v>
      </c>
      <c r="P26" s="23">
        <f>(O26*N26)</f>
        <v>0.15</v>
      </c>
    </row>
    <row r="27" spans="2:21">
      <c r="B27" s="24">
        <v>0.01</v>
      </c>
      <c r="C27" s="38">
        <v>1500</v>
      </c>
      <c r="D27" s="23">
        <f>(C27*B27)</f>
        <v>15</v>
      </c>
      <c r="N27" s="24">
        <f>($R$20/5)</f>
        <v>8.2455999999999998E-5</v>
      </c>
      <c r="O27" s="38">
        <f>($S$20*Params!K16)</f>
        <v>2425.5360434656059</v>
      </c>
      <c r="P27" s="23">
        <f>(O27*N27)</f>
        <v>0.19999999999999998</v>
      </c>
    </row>
    <row r="28" spans="2:21">
      <c r="B28" s="24">
        <v>-0.01</v>
      </c>
      <c r="C28" s="37">
        <f>(D28/B28)</f>
        <v>1443</v>
      </c>
      <c r="D28" s="23">
        <v>-14.43</v>
      </c>
      <c r="N28" s="24">
        <f>($R$20/5)</f>
        <v>8.2455999999999998E-5</v>
      </c>
      <c r="O28" s="38">
        <f>($S$20*Params!K17)</f>
        <v>4851.0720869312117</v>
      </c>
      <c r="P28" s="23">
        <f>(O28*N28)</f>
        <v>0.39999999999999997</v>
      </c>
    </row>
    <row r="29" spans="2:21">
      <c r="B29" s="24">
        <v>0.01</v>
      </c>
      <c r="C29" s="38">
        <v>1428.89</v>
      </c>
      <c r="D29" s="23">
        <f>(C29*B29)</f>
        <v>14.288900000000002</v>
      </c>
      <c r="N29" s="24">
        <f>($R$20/5)</f>
        <v>8.2455999999999998E-5</v>
      </c>
      <c r="O29" s="38">
        <f>($S$20*Params!K18)</f>
        <v>9702.1441738624235</v>
      </c>
      <c r="P29" s="23">
        <f>(O29*N29)</f>
        <v>0.79999999999999993</v>
      </c>
    </row>
    <row r="30" spans="2:21">
      <c r="B30" s="24">
        <v>-0.01</v>
      </c>
      <c r="C30" s="37">
        <v>1402.5</v>
      </c>
      <c r="D30" s="23">
        <f>(C30*B30)</f>
        <v>-14.025</v>
      </c>
    </row>
    <row r="31" spans="2:21">
      <c r="B31" s="24">
        <v>0.01</v>
      </c>
      <c r="C31" s="38">
        <v>1372</v>
      </c>
      <c r="D31" s="23">
        <f>(C31*B31)</f>
        <v>13.72</v>
      </c>
      <c r="P31" s="23">
        <f>(SUM(P26:P29))</f>
        <v>1.5499999999999998</v>
      </c>
    </row>
    <row r="32" spans="2:21">
      <c r="B32" s="24">
        <v>-0.01</v>
      </c>
      <c r="C32" s="37">
        <v>1286.6600000000001</v>
      </c>
      <c r="D32" s="23">
        <f>(C32*B32)</f>
        <v>-12.866600000000002</v>
      </c>
      <c r="R32">
        <f>(SUM(R5:R31))</f>
        <v>0.48100428999999995</v>
      </c>
      <c r="T32" s="23">
        <f>(SUM(T5:T31))</f>
        <v>1363.3189255217842</v>
      </c>
    </row>
    <row r="33" spans="2:16">
      <c r="B33" s="24">
        <v>0.01</v>
      </c>
      <c r="C33" s="38">
        <v>1250</v>
      </c>
      <c r="D33" s="23">
        <f>(C33*B33)</f>
        <v>12.5</v>
      </c>
      <c r="M33" t="s">
        <v>18</v>
      </c>
      <c r="N33" t="s">
        <v>0</v>
      </c>
      <c r="O33" t="s">
        <v>1</v>
      </c>
      <c r="P33" t="s">
        <v>2</v>
      </c>
    </row>
    <row r="34" spans="2:16">
      <c r="B34" s="24">
        <v>-0.01</v>
      </c>
      <c r="C34" s="37">
        <f>(D34/B34)</f>
        <v>1219.326523</v>
      </c>
      <c r="D34" s="23">
        <v>-12.19326523</v>
      </c>
      <c r="M34" t="s">
        <v>11</v>
      </c>
      <c r="N34">
        <f>($R$23/5)</f>
        <v>5.176E-3</v>
      </c>
      <c r="O34" s="38">
        <f>($S$23*Params!K15)</f>
        <v>2732.8052550231837</v>
      </c>
      <c r="P34" s="23">
        <f>(O34*N34)</f>
        <v>14.145</v>
      </c>
    </row>
    <row r="35" spans="2:16">
      <c r="B35" s="24">
        <v>8.7129999999999999E-2</v>
      </c>
      <c r="C35" s="38">
        <f>(D35/B35)</f>
        <v>1591.41512682199</v>
      </c>
      <c r="D35" s="23">
        <v>138.66</v>
      </c>
      <c r="E35" t="s">
        <v>10</v>
      </c>
      <c r="N35">
        <f>($R$23/5)</f>
        <v>5.176E-3</v>
      </c>
      <c r="O35" s="38">
        <f>($S$23*Params!K16)</f>
        <v>3643.7403400309117</v>
      </c>
      <c r="P35" s="23">
        <f>(O35*N35)</f>
        <v>18.86</v>
      </c>
    </row>
    <row r="36" spans="2:16">
      <c r="B36" s="24">
        <v>1.67E-2</v>
      </c>
      <c r="C36" s="38">
        <f>(D36/B36)</f>
        <v>1634.7305389221558</v>
      </c>
      <c r="D36" s="23">
        <v>27.3</v>
      </c>
      <c r="E36" t="s">
        <v>15</v>
      </c>
      <c r="N36">
        <f>($R$23/5)</f>
        <v>5.176E-3</v>
      </c>
      <c r="O36" s="38">
        <f>($S$23*Params!K17)</f>
        <v>7287.4806800618235</v>
      </c>
      <c r="P36" s="23">
        <f>(O36*N36)</f>
        <v>37.72</v>
      </c>
    </row>
    <row r="37" spans="2:16">
      <c r="B37" s="24">
        <v>4.1228E-4</v>
      </c>
      <c r="C37" s="38">
        <f>(D37/B37)</f>
        <v>1212.7680217328029</v>
      </c>
      <c r="D37" s="23">
        <v>0.5</v>
      </c>
      <c r="N37">
        <f>($R$23/5)</f>
        <v>5.176E-3</v>
      </c>
      <c r="O37" s="38">
        <f>($S$23*Params!K18)</f>
        <v>14574.961360123647</v>
      </c>
      <c r="P37" s="23">
        <f>(O37*N37)</f>
        <v>75.44</v>
      </c>
    </row>
    <row r="38" spans="2:16">
      <c r="B38" s="24">
        <f>(-0.000705)</f>
        <v>-7.0500000000000001E-4</v>
      </c>
      <c r="C38" s="37">
        <v>1605</v>
      </c>
      <c r="D38" s="23">
        <f>(C38*B38)</f>
        <v>-1.1315250000000001</v>
      </c>
    </row>
    <row r="39" spans="2:16">
      <c r="B39" s="24">
        <f>(-0.00535-B38)</f>
        <v>-4.6449999999999998E-3</v>
      </c>
      <c r="C39" s="37">
        <v>1605</v>
      </c>
      <c r="D39" s="23">
        <f>(C39*B39)</f>
        <v>-7.4552249999999995</v>
      </c>
      <c r="P39" s="23">
        <f>(SUM(P34:P37))</f>
        <v>146.16499999999999</v>
      </c>
    </row>
    <row r="40" spans="2:16">
      <c r="B40" s="24">
        <v>2.588E-2</v>
      </c>
      <c r="C40" s="38">
        <f>(D40/B40)</f>
        <v>1821.8701700154559</v>
      </c>
      <c r="D40" s="23">
        <v>47.15</v>
      </c>
      <c r="E40" t="s">
        <v>18</v>
      </c>
    </row>
    <row r="42" spans="2:16">
      <c r="B42">
        <f>(SUM(B5:B41))</f>
        <v>0.48100428999999989</v>
      </c>
      <c r="D42" s="23">
        <f>(SUM(D5:D41))</f>
        <v>1363.3189255217844</v>
      </c>
      <c r="H42" t="s">
        <v>9</v>
      </c>
      <c r="I42" s="38">
        <f>D42/B42</f>
        <v>2834.317601453793</v>
      </c>
    </row>
  </sheetData>
  <conditionalFormatting sqref="C5:C7 C11 C18:C24">
    <cfRule type="cellIs" dxfId="335" priority="37" operator="lessThan">
      <formula>$J$3</formula>
    </cfRule>
    <cfRule type="cellIs" dxfId="334" priority="38" operator="greaterThan">
      <formula>$J$3</formula>
    </cfRule>
  </conditionalFormatting>
  <conditionalFormatting sqref="C25">
    <cfRule type="cellIs" dxfId="333" priority="35" operator="lessThan">
      <formula>$J$3</formula>
    </cfRule>
    <cfRule type="cellIs" dxfId="332" priority="36" operator="greaterThan">
      <formula>$J$3</formula>
    </cfRule>
  </conditionalFormatting>
  <conditionalFormatting sqref="C27">
    <cfRule type="cellIs" dxfId="331" priority="33" operator="lessThan">
      <formula>$J$3</formula>
    </cfRule>
    <cfRule type="cellIs" dxfId="330" priority="34" operator="greaterThan">
      <formula>$J$3</formula>
    </cfRule>
  </conditionalFormatting>
  <conditionalFormatting sqref="C29">
    <cfRule type="cellIs" dxfId="329" priority="31" operator="lessThan">
      <formula>$J$3</formula>
    </cfRule>
    <cfRule type="cellIs" dxfId="328" priority="32" operator="greaterThan">
      <formula>$J$3</formula>
    </cfRule>
  </conditionalFormatting>
  <conditionalFormatting sqref="C31">
    <cfRule type="cellIs" dxfId="327" priority="29" operator="lessThan">
      <formula>$J$3</formula>
    </cfRule>
    <cfRule type="cellIs" dxfId="326" priority="30" operator="greaterThan">
      <formula>$J$3</formula>
    </cfRule>
  </conditionalFormatting>
  <conditionalFormatting sqref="C33">
    <cfRule type="cellIs" dxfId="325" priority="27" operator="lessThan">
      <formula>$J$3</formula>
    </cfRule>
    <cfRule type="cellIs" dxfId="324" priority="28" operator="greaterThan">
      <formula>$J$3</formula>
    </cfRule>
  </conditionalFormatting>
  <conditionalFormatting sqref="C35:C37">
    <cfRule type="cellIs" dxfId="323" priority="25" operator="lessThan">
      <formula>$J$3</formula>
    </cfRule>
    <cfRule type="cellIs" dxfId="322" priority="26" operator="greaterThan">
      <formula>$J$3</formula>
    </cfRule>
  </conditionalFormatting>
  <conditionalFormatting sqref="C40">
    <cfRule type="cellIs" dxfId="321" priority="23" operator="lessThan">
      <formula>$J$3</formula>
    </cfRule>
    <cfRule type="cellIs" dxfId="320" priority="24" operator="greaterThan">
      <formula>$J$3</formula>
    </cfRule>
  </conditionalFormatting>
  <conditionalFormatting sqref="I42">
    <cfRule type="cellIs" dxfId="319" priority="21" operator="lessThan">
      <formula>$J$3</formula>
    </cfRule>
    <cfRule type="cellIs" dxfId="318" priority="22" operator="greaterThan">
      <formula>$J$3</formula>
    </cfRule>
  </conditionalFormatting>
  <conditionalFormatting sqref="O11:O13">
    <cfRule type="cellIs" dxfId="317" priority="19" operator="lessThan">
      <formula>$J$3</formula>
    </cfRule>
    <cfRule type="cellIs" dxfId="316" priority="20" operator="greaterThan">
      <formula>$J$3</formula>
    </cfRule>
  </conditionalFormatting>
  <conditionalFormatting sqref="O19:O21">
    <cfRule type="cellIs" dxfId="315" priority="17" operator="lessThan">
      <formula>$J$3</formula>
    </cfRule>
    <cfRule type="cellIs" dxfId="314" priority="18" operator="greaterThan">
      <formula>$J$3</formula>
    </cfRule>
  </conditionalFormatting>
  <conditionalFormatting sqref="O26:O29">
    <cfRule type="cellIs" dxfId="313" priority="15" operator="lessThan">
      <formula>$J$3</formula>
    </cfRule>
    <cfRule type="cellIs" dxfId="312" priority="16" operator="greaterThan">
      <formula>$J$3</formula>
    </cfRule>
  </conditionalFormatting>
  <conditionalFormatting sqref="O34:O37">
    <cfRule type="cellIs" dxfId="311" priority="13" operator="lessThan">
      <formula>$J$3</formula>
    </cfRule>
    <cfRule type="cellIs" dxfId="310" priority="14" operator="greaterThan">
      <formula>$J$3</formula>
    </cfRule>
  </conditionalFormatting>
  <conditionalFormatting sqref="N6">
    <cfRule type="cellIs" dxfId="309" priority="11" operator="lessThan">
      <formula>$J$3</formula>
    </cfRule>
    <cfRule type="cellIs" dxfId="308" priority="12" operator="greaterThan">
      <formula>$J$3</formula>
    </cfRule>
  </conditionalFormatting>
  <conditionalFormatting sqref="O3">
    <cfRule type="cellIs" dxfId="307" priority="9" operator="greaterThan">
      <formula>$J$3</formula>
    </cfRule>
    <cfRule type="cellIs" dxfId="306" priority="10" operator="lessThan">
      <formula>$J$3</formula>
    </cfRule>
  </conditionalFormatting>
  <conditionalFormatting sqref="S5:S7">
    <cfRule type="cellIs" dxfId="305" priority="7" operator="lessThan">
      <formula>$J$3</formula>
    </cfRule>
    <cfRule type="cellIs" dxfId="304" priority="8" operator="greaterThan">
      <formula>$J$3</formula>
    </cfRule>
  </conditionalFormatting>
  <conditionalFormatting sqref="S10:S15">
    <cfRule type="cellIs" dxfId="303" priority="5" operator="lessThan">
      <formula>$J$3</formula>
    </cfRule>
    <cfRule type="cellIs" dxfId="302" priority="6" operator="greaterThan">
      <formula>$J$3</formula>
    </cfRule>
  </conditionalFormatting>
  <conditionalFormatting sqref="S18:S20">
    <cfRule type="cellIs" dxfId="301" priority="3" operator="lessThan">
      <formula>$J$3</formula>
    </cfRule>
    <cfRule type="cellIs" dxfId="300" priority="4" operator="greaterThan">
      <formula>$J$3</formula>
    </cfRule>
  </conditionalFormatting>
  <conditionalFormatting sqref="S23">
    <cfRule type="cellIs" dxfId="299" priority="1" operator="lessThan">
      <formula>$J$3</formula>
    </cfRule>
    <cfRule type="cellIs" dxfId="298" priority="2" operator="greaterThan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>
  <dimension ref="B3:U22"/>
  <sheetViews>
    <sheetView workbookViewId="0">
      <selection activeCell="B6" sqref="B6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37">
        <v>3.513780455686236</v>
      </c>
    </row>
    <row r="4" spans="2:21">
      <c r="B4" t="s">
        <v>5</v>
      </c>
      <c r="C4" t="s">
        <v>6</v>
      </c>
      <c r="D4" t="s">
        <v>7</v>
      </c>
      <c r="I4" t="s">
        <v>8</v>
      </c>
      <c r="J4" s="37">
        <f>(B14*J3)</f>
        <v>22.467691937157376</v>
      </c>
      <c r="K4" s="4">
        <f>(J4/D14-1)</f>
        <v>-0.146053415531472</v>
      </c>
      <c r="R4" t="s">
        <v>5</v>
      </c>
      <c r="S4" t="s">
        <v>6</v>
      </c>
      <c r="T4" t="s">
        <v>7</v>
      </c>
    </row>
    <row r="5" spans="2:21">
      <c r="B5" s="29">
        <v>6.0437700000000003</v>
      </c>
      <c r="C5" s="37">
        <f>(D5/B5)</f>
        <v>4.3846804229810203</v>
      </c>
      <c r="D5" s="37">
        <v>26.5</v>
      </c>
      <c r="E5" t="s">
        <v>15</v>
      </c>
      <c r="M5" t="s">
        <v>15</v>
      </c>
      <c r="N5" t="s">
        <v>29</v>
      </c>
      <c r="O5" t="s">
        <v>1</v>
      </c>
      <c r="P5" t="s">
        <v>2</v>
      </c>
      <c r="R5" s="20">
        <f>(B6)</f>
        <v>0.28445324</v>
      </c>
      <c r="S5" s="39">
        <v>0</v>
      </c>
      <c r="T5" s="26">
        <f>(D6)</f>
        <v>0</v>
      </c>
      <c r="U5" s="37">
        <f>(R5*J3)</f>
        <v>0.99950623526862625</v>
      </c>
    </row>
    <row r="6" spans="2:21">
      <c r="B6" s="36">
        <v>0.28445324</v>
      </c>
      <c r="C6" s="39">
        <v>0</v>
      </c>
      <c r="D6" s="26">
        <f>(B6*C6)</f>
        <v>0</v>
      </c>
      <c r="E6" s="37">
        <f>(B6*J3)</f>
        <v>0.99950623526862625</v>
      </c>
      <c r="M6" t="s">
        <v>11</v>
      </c>
      <c r="N6" s="29">
        <f>(SUM(R5:R7)/5)</f>
        <v>1.2788329960000002</v>
      </c>
      <c r="O6" s="37">
        <f>($C$5*Params!K8)</f>
        <v>5.700084549875327</v>
      </c>
      <c r="P6" s="37">
        <f>(O6*N6)</f>
        <v>7.2894562023703768</v>
      </c>
      <c r="R6" s="29">
        <f>(B5)</f>
        <v>6.0437700000000003</v>
      </c>
      <c r="S6" s="37">
        <f>(T6/R6)</f>
        <v>4.3846804229810203</v>
      </c>
      <c r="T6" s="37">
        <f>(D5)</f>
        <v>26.5</v>
      </c>
      <c r="U6" t="s">
        <v>15</v>
      </c>
    </row>
    <row r="7" spans="2:21">
      <c r="B7" s="29">
        <v>-0.2273</v>
      </c>
      <c r="C7" s="37">
        <f t="shared" ref="C7:C12" si="0">(D7/B7)</f>
        <v>4.95</v>
      </c>
      <c r="D7" s="37">
        <v>-1.125135</v>
      </c>
      <c r="N7" s="29">
        <f>(SUM(R5:R7)/5)</f>
        <v>1.2788329960000002</v>
      </c>
      <c r="O7" s="37">
        <f>($C$5*Params!K9)</f>
        <v>7.0154886767696327</v>
      </c>
      <c r="P7" s="37">
        <f>(O7*N7)</f>
        <v>8.971638402917387</v>
      </c>
      <c r="R7" s="29">
        <f>(SUM(B7:B12))</f>
        <v>6.5941739999999971E-2</v>
      </c>
      <c r="S7" s="37">
        <v>0</v>
      </c>
      <c r="T7" s="37">
        <f>(SUM(D7:D12))</f>
        <v>-0.18958158999999997</v>
      </c>
    </row>
    <row r="8" spans="2:21">
      <c r="B8" s="29">
        <v>-0.30499999999999999</v>
      </c>
      <c r="C8" s="37">
        <f t="shared" si="0"/>
        <v>6.2656189508196727</v>
      </c>
      <c r="D8" s="37">
        <v>-1.91101378</v>
      </c>
      <c r="N8" s="29">
        <f>(SUM(R5:R7)/5)</f>
        <v>1.2788329960000002</v>
      </c>
      <c r="O8" s="37">
        <f>($C$5*Params!K10)</f>
        <v>9.6462969305582451</v>
      </c>
      <c r="P8" s="37">
        <f>(O8*N8)</f>
        <v>12.336002804011407</v>
      </c>
    </row>
    <row r="9" spans="2:21">
      <c r="B9" s="29">
        <v>0.34203370999999999</v>
      </c>
      <c r="C9" s="37">
        <f t="shared" si="0"/>
        <v>5.2626391708583347</v>
      </c>
      <c r="D9" s="37">
        <v>1.8</v>
      </c>
      <c r="N9" s="29">
        <f>(SUM(R5:R7)/5)</f>
        <v>1.2788329960000002</v>
      </c>
      <c r="O9" s="37">
        <f>($C$5*Params!K11)</f>
        <v>17.538721691924081</v>
      </c>
      <c r="P9" s="37">
        <f>(O9*N9)</f>
        <v>22.429096007293467</v>
      </c>
    </row>
    <row r="10" spans="2:21">
      <c r="B10" s="29">
        <v>0.25620802999999998</v>
      </c>
      <c r="C10" s="37">
        <f t="shared" si="0"/>
        <v>4.1372629889859427</v>
      </c>
      <c r="D10" s="37">
        <v>1.06</v>
      </c>
    </row>
    <row r="11" spans="2:21">
      <c r="B11" s="29">
        <v>-0.4</v>
      </c>
      <c r="C11" s="37">
        <f t="shared" si="0"/>
        <v>4.1562849000000002</v>
      </c>
      <c r="D11" s="37">
        <v>-1.6625139600000001</v>
      </c>
      <c r="P11" s="37">
        <f>(SUM(P6:P9))</f>
        <v>51.026193416592633</v>
      </c>
    </row>
    <row r="12" spans="2:21">
      <c r="B12" s="29">
        <v>0.4</v>
      </c>
      <c r="C12" s="37">
        <f t="shared" si="0"/>
        <v>4.1227028749999999</v>
      </c>
      <c r="D12" s="37">
        <f>(1.64908115)</f>
        <v>1.64908115</v>
      </c>
    </row>
    <row r="13" spans="2:21">
      <c r="F13" t="s">
        <v>9</v>
      </c>
      <c r="G13" s="37">
        <f>(D14/B14)</f>
        <v>4.1147543881484259</v>
      </c>
    </row>
    <row r="14" spans="2:21">
      <c r="B14" s="29">
        <f>(SUM(B5:B13))</f>
        <v>6.3941649800000011</v>
      </c>
      <c r="D14" s="37">
        <f>(SUM(D5:D13))</f>
        <v>26.310418409999997</v>
      </c>
      <c r="R14" s="29">
        <f>(SUM(R5:R13))</f>
        <v>6.3941649800000011</v>
      </c>
      <c r="T14" s="37">
        <f>(SUM(T5:T13))</f>
        <v>26.31041841</v>
      </c>
    </row>
    <row r="22" spans="4:4">
      <c r="D22" s="29"/>
    </row>
  </sheetData>
  <conditionalFormatting sqref="C5 C7:C12">
    <cfRule type="cellIs" dxfId="227" priority="7" operator="lessThan">
      <formula>$J$3</formula>
    </cfRule>
    <cfRule type="cellIs" dxfId="226" priority="8" operator="greaterThan">
      <formula>$J$3</formula>
    </cfRule>
  </conditionalFormatting>
  <conditionalFormatting sqref="O6:O9">
    <cfRule type="cellIs" dxfId="225" priority="5" operator="lessThan">
      <formula>$J$3</formula>
    </cfRule>
    <cfRule type="cellIs" dxfId="224" priority="6" operator="greaterThan">
      <formula>$J$3</formula>
    </cfRule>
  </conditionalFormatting>
  <conditionalFormatting sqref="S6:S7">
    <cfRule type="cellIs" dxfId="223" priority="3" operator="lessThan">
      <formula>$J$3</formula>
    </cfRule>
    <cfRule type="cellIs" dxfId="222" priority="4" operator="greaterThan">
      <formula>$J$3</formula>
    </cfRule>
  </conditionalFormatting>
  <conditionalFormatting sqref="G13">
    <cfRule type="cellIs" dxfId="221" priority="1" operator="lessThan">
      <formula>$J$3</formula>
    </cfRule>
    <cfRule type="cellIs" dxfId="220" priority="2" operator="greaterThan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>
  <dimension ref="B3:P14"/>
  <sheetViews>
    <sheetView workbookViewId="0">
      <selection activeCell="B8" sqref="B8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7">
        <v>10.517332839616531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7">
        <f>(B14*J3)</f>
        <v>12.672248096324674</v>
      </c>
      <c r="K4" s="4">
        <f>(J4/D14-1)</f>
        <v>0.15940055776072048</v>
      </c>
    </row>
    <row r="5" spans="2:16">
      <c r="B5" s="29">
        <v>1.1100000000000001</v>
      </c>
      <c r="C5" s="37">
        <f>(D5/B5)</f>
        <v>9.8468468468468462</v>
      </c>
      <c r="D5" s="37">
        <v>10.93</v>
      </c>
      <c r="N5" t="s">
        <v>29</v>
      </c>
      <c r="O5" t="s">
        <v>1</v>
      </c>
      <c r="P5" t="s">
        <v>2</v>
      </c>
    </row>
    <row r="6" spans="2:16">
      <c r="B6" s="29">
        <v>8.7936070000000005E-2</v>
      </c>
      <c r="C6" s="37">
        <v>0</v>
      </c>
      <c r="D6" s="37">
        <f>(B6*C6)</f>
        <v>0</v>
      </c>
      <c r="E6" s="37">
        <f>(B6*J3)</f>
        <v>0.92485291679781811</v>
      </c>
      <c r="M6" t="s">
        <v>11</v>
      </c>
      <c r="N6" s="1">
        <f>(SUM($B$5:$B$7)/5)</f>
        <v>0.24097836000000003</v>
      </c>
      <c r="O6" s="37">
        <f>($C$5*Params!K8)</f>
        <v>12.800900900900901</v>
      </c>
      <c r="P6" s="37">
        <f>(O6*N6)</f>
        <v>3.0847401056216222</v>
      </c>
    </row>
    <row r="7" spans="2:16">
      <c r="B7" s="36">
        <v>6.9557300000000002E-3</v>
      </c>
      <c r="C7" s="39">
        <v>0</v>
      </c>
      <c r="D7" s="26">
        <f>(C7*B7)</f>
        <v>0</v>
      </c>
      <c r="E7" s="37">
        <f>(B7*J4)</f>
        <v>8.8144736251048433E-2</v>
      </c>
      <c r="N7" s="1">
        <f>(SUM($B$5:$B$7)/5)</f>
        <v>0.24097836000000003</v>
      </c>
      <c r="O7" s="37">
        <f>($C$5*Params!K9)</f>
        <v>15.754954954954954</v>
      </c>
      <c r="P7" s="37">
        <f>(O7*N7)</f>
        <v>3.7966032069189191</v>
      </c>
    </row>
    <row r="8" spans="2:16">
      <c r="N8" s="1">
        <f>(SUM($B$5:$B$7)/5)</f>
        <v>0.24097836000000003</v>
      </c>
      <c r="O8" s="37">
        <f>($C$5*Params!K10)</f>
        <v>21.663063063063063</v>
      </c>
      <c r="P8" s="37">
        <f>(O8*N8)</f>
        <v>5.2203294095135142</v>
      </c>
    </row>
    <row r="9" spans="2:16">
      <c r="N9" s="1">
        <f>(SUM($B$5:$B$7)/5)</f>
        <v>0.24097836000000003</v>
      </c>
      <c r="O9" s="37">
        <f>($C$5*Params!K11)</f>
        <v>39.387387387387385</v>
      </c>
      <c r="P9" s="37">
        <f>(O9*N9)</f>
        <v>9.4915080172972974</v>
      </c>
    </row>
    <row r="12" spans="2:16">
      <c r="P12" s="37">
        <f>(SUM(P6:P9))</f>
        <v>21.593180739351354</v>
      </c>
    </row>
    <row r="13" spans="2:16">
      <c r="F13" t="s">
        <v>9</v>
      </c>
      <c r="G13" s="37">
        <f>(D14/B14)</f>
        <v>9.0713539589197953</v>
      </c>
    </row>
    <row r="14" spans="2:16">
      <c r="B14" s="19">
        <f>(SUM(B5:B13))</f>
        <v>1.2048918000000002</v>
      </c>
      <c r="D14" s="37">
        <f>(SUM(D5:D13))</f>
        <v>10.93</v>
      </c>
    </row>
  </sheetData>
  <conditionalFormatting sqref="C5">
    <cfRule type="cellIs" dxfId="219" priority="5" operator="lessThan">
      <formula>$J$3</formula>
    </cfRule>
    <cfRule type="cellIs" dxfId="218" priority="6" operator="greaterThan">
      <formula>$J$3</formula>
    </cfRule>
  </conditionalFormatting>
  <conditionalFormatting sqref="O6:O9">
    <cfRule type="cellIs" dxfId="217" priority="3" operator="lessThan">
      <formula>$J$3</formula>
    </cfRule>
    <cfRule type="cellIs" dxfId="216" priority="4" operator="greaterThan">
      <formula>$J$3</formula>
    </cfRule>
  </conditionalFormatting>
  <conditionalFormatting sqref="G13">
    <cfRule type="cellIs" dxfId="215" priority="1" operator="lessThan">
      <formula>$J$3</formula>
    </cfRule>
    <cfRule type="cellIs" dxfId="214" priority="2" operator="greaterThan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>
  <dimension ref="B2:U19"/>
  <sheetViews>
    <sheetView tabSelected="1" workbookViewId="0">
      <selection activeCell="B7" sqref="B7"/>
    </sheetView>
  </sheetViews>
  <sheetFormatPr baseColWidth="10" defaultColWidth="9.140625" defaultRowHeight="15"/>
  <cols>
    <col min="4" max="4" width="10.28515625" style="14" bestFit="1" customWidth="1"/>
    <col min="5" max="5" width="9.140625" style="14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  <col min="18" max="18" width="9.5703125" style="14" bestFit="1" customWidth="1"/>
    <col min="20" max="20" width="10.28515625" style="14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37">
        <v>14.71464432444342</v>
      </c>
      <c r="M3" t="s">
        <v>4</v>
      </c>
      <c r="N3" s="24">
        <f>(INDEX(N6:N15,MATCH(MAX(O6),O6:O15,0))/0.9)</f>
        <v>7.9666666666666663E-2</v>
      </c>
      <c r="O3" s="38">
        <f>(MAX(O6)*0.85)</f>
        <v>13.421499999999998</v>
      </c>
      <c r="P3" s="37">
        <f>(O3*N3)</f>
        <v>1.0692461666666664</v>
      </c>
    </row>
    <row r="4" spans="2:21">
      <c r="B4" t="s">
        <v>5</v>
      </c>
      <c r="C4" t="s">
        <v>6</v>
      </c>
      <c r="D4" t="s">
        <v>7</v>
      </c>
      <c r="I4" t="s">
        <v>8</v>
      </c>
      <c r="J4" s="37">
        <f>(B13*J3)</f>
        <v>26.953878466453439</v>
      </c>
      <c r="K4" s="4">
        <f>(J4/D13-1)</f>
        <v>-9.8120617718670311E-2</v>
      </c>
      <c r="R4" t="s">
        <v>5</v>
      </c>
      <c r="S4" t="s">
        <v>6</v>
      </c>
      <c r="T4" t="s">
        <v>7</v>
      </c>
    </row>
    <row r="5" spans="2:21">
      <c r="B5">
        <v>1.6104700000000001</v>
      </c>
      <c r="C5" s="37">
        <f>(D5/B5)</f>
        <v>16.454823747104882</v>
      </c>
      <c r="D5" s="37">
        <v>26.5</v>
      </c>
      <c r="E5" t="s">
        <v>15</v>
      </c>
      <c r="M5" t="s">
        <v>15</v>
      </c>
      <c r="N5" t="s">
        <v>29</v>
      </c>
      <c r="O5" t="s">
        <v>1</v>
      </c>
      <c r="P5" t="s">
        <v>2</v>
      </c>
      <c r="R5" s="25">
        <f>(B6)</f>
        <v>8.5996400000000004E-3</v>
      </c>
      <c r="S5" s="39">
        <v>0</v>
      </c>
      <c r="T5" s="26">
        <f>(D6)</f>
        <v>0</v>
      </c>
      <c r="U5" s="37">
        <f>(R5*J3)</f>
        <v>0.12654064391825662</v>
      </c>
    </row>
    <row r="6" spans="2:21">
      <c r="B6" s="25">
        <v>8.5996400000000004E-3</v>
      </c>
      <c r="C6" s="39">
        <v>0</v>
      </c>
      <c r="D6" s="26">
        <f>(B6*C6)</f>
        <v>0</v>
      </c>
      <c r="E6" s="37">
        <f>(B6*J3)</f>
        <v>0.12654064391825662</v>
      </c>
      <c r="M6" t="s">
        <v>11</v>
      </c>
      <c r="N6" s="24">
        <f>(-B7)</f>
        <v>7.17E-2</v>
      </c>
      <c r="O6" s="37">
        <f>(C7)</f>
        <v>15.79</v>
      </c>
      <c r="P6" s="37">
        <f>(O6*N6)</f>
        <v>1.1321429999999999</v>
      </c>
      <c r="Q6" t="s">
        <v>12</v>
      </c>
      <c r="R6" s="24">
        <f>(B5-N6)</f>
        <v>1.53877</v>
      </c>
      <c r="S6" s="37">
        <f>(T6/R6)</f>
        <v>16.637237533874458</v>
      </c>
      <c r="T6" s="37">
        <f>(D5+12.54*-N6)</f>
        <v>25.600881999999999</v>
      </c>
      <c r="U6" t="s">
        <v>15</v>
      </c>
    </row>
    <row r="7" spans="2:21">
      <c r="B7" s="24">
        <v>-7.17E-2</v>
      </c>
      <c r="C7" s="37">
        <f>(D7/B7)</f>
        <v>15.79</v>
      </c>
      <c r="D7" s="37">
        <v>-1.1321429999999999</v>
      </c>
      <c r="N7" s="24">
        <f>(2*($R$6+N6)/5-N6)</f>
        <v>0.572488</v>
      </c>
      <c r="O7" s="37">
        <f>($C$5*Params!K9)</f>
        <v>26.327717995367813</v>
      </c>
      <c r="P7" s="37">
        <f>(O7*N7)</f>
        <v>15.072302619732129</v>
      </c>
      <c r="R7" s="24">
        <f>(N14-N14)</f>
        <v>0</v>
      </c>
      <c r="S7" s="37">
        <v>0</v>
      </c>
      <c r="T7" s="37">
        <f>(12.54*N6-P6)</f>
        <v>-0.23302499999999993</v>
      </c>
      <c r="U7" t="s">
        <v>16</v>
      </c>
    </row>
    <row r="8" spans="2:21">
      <c r="B8">
        <v>-0.114356</v>
      </c>
      <c r="C8" s="37">
        <f>(D8/B8)</f>
        <v>20.563082741613908</v>
      </c>
      <c r="D8" s="37">
        <v>-2.3515118899999998</v>
      </c>
      <c r="N8" s="24">
        <f>($B$5/5)</f>
        <v>0.32209399999999999</v>
      </c>
      <c r="O8" s="37">
        <f>($C$5*Params!K10)</f>
        <v>36.200612243630744</v>
      </c>
      <c r="P8" s="37">
        <f>(O8*N8)</f>
        <v>11.66</v>
      </c>
      <c r="R8" s="24">
        <f>(B8+B9)</f>
        <v>1.2922699999999995E-2</v>
      </c>
      <c r="S8" s="37">
        <v>0</v>
      </c>
      <c r="T8" s="37">
        <f>(D8+D9)</f>
        <v>-0.13151188999999963</v>
      </c>
    </row>
    <row r="9" spans="2:21">
      <c r="B9" s="24">
        <v>0.12727869999999999</v>
      </c>
      <c r="C9" s="37">
        <f>(D9/B9)</f>
        <v>17.442038612902241</v>
      </c>
      <c r="D9" s="37">
        <v>2.2200000000000002</v>
      </c>
      <c r="N9" s="24">
        <f>($B$5/5)</f>
        <v>0.32209399999999999</v>
      </c>
      <c r="O9" s="37">
        <f>($C$5*Params!K11)</f>
        <v>65.819294988419529</v>
      </c>
      <c r="P9" s="37">
        <f>(O9*N9)</f>
        <v>21.2</v>
      </c>
      <c r="R9" s="24">
        <f>(B10)</f>
        <v>0.27148</v>
      </c>
      <c r="S9" s="37">
        <f>(T9/R9)</f>
        <v>17.12833357890084</v>
      </c>
      <c r="T9" s="37">
        <f>(D10)</f>
        <v>4.6500000000000004</v>
      </c>
      <c r="U9" t="str">
        <f>E10</f>
        <v>DCA4</v>
      </c>
    </row>
    <row r="10" spans="2:21">
      <c r="B10">
        <v>0.27148</v>
      </c>
      <c r="C10" s="37">
        <f>(D10/B10)</f>
        <v>17.12833357890084</v>
      </c>
      <c r="D10" s="37">
        <v>4.6500000000000004</v>
      </c>
      <c r="E10" t="s">
        <v>80</v>
      </c>
    </row>
    <row r="11" spans="2:21">
      <c r="P11" s="37">
        <f>(SUM(P6:P9))</f>
        <v>49.064445619732126</v>
      </c>
    </row>
    <row r="12" spans="2:21">
      <c r="F12" t="s">
        <v>9</v>
      </c>
      <c r="G12" s="37">
        <f>(D13/B13)</f>
        <v>16.315534664094777</v>
      </c>
    </row>
    <row r="13" spans="2:21">
      <c r="B13" s="24">
        <f>(SUM(B5:B12))</f>
        <v>1.8317723399999999</v>
      </c>
      <c r="D13" s="37">
        <f>(SUM(D5:D12))</f>
        <v>29.886345110000001</v>
      </c>
      <c r="M13" t="s">
        <v>80</v>
      </c>
      <c r="N13" t="s">
        <v>29</v>
      </c>
      <c r="O13" t="s">
        <v>1</v>
      </c>
      <c r="P13" t="s">
        <v>2</v>
      </c>
      <c r="R13" s="24">
        <f>(SUM(R5:R12))</f>
        <v>1.8317723399999999</v>
      </c>
      <c r="T13" s="37">
        <f>(SUM(T5:T12))</f>
        <v>29.886345110000001</v>
      </c>
    </row>
    <row r="14" spans="2:21">
      <c r="M14" t="s">
        <v>11</v>
      </c>
      <c r="N14" s="24">
        <f>($B$10/5)</f>
        <v>5.4295999999999997E-2</v>
      </c>
      <c r="O14" s="37">
        <f>($C$10*Params!K8)</f>
        <v>22.266833652571094</v>
      </c>
      <c r="P14" s="37">
        <f>(O14*N14)</f>
        <v>1.2090000000000001</v>
      </c>
    </row>
    <row r="15" spans="2:21">
      <c r="N15" s="24">
        <f>($B$10/5)</f>
        <v>5.4295999999999997E-2</v>
      </c>
      <c r="O15" s="37">
        <f>($C$10*Params!K9)</f>
        <v>27.405333726241345</v>
      </c>
      <c r="P15" s="37">
        <f>(O15*N15)</f>
        <v>1.488</v>
      </c>
    </row>
    <row r="16" spans="2:21">
      <c r="N16" s="24">
        <f>($B$10/5)</f>
        <v>5.4295999999999997E-2</v>
      </c>
      <c r="O16" s="37">
        <f>($C$10*Params!K10)</f>
        <v>37.682333873581854</v>
      </c>
      <c r="P16" s="37">
        <f>(O16*N16)</f>
        <v>2.0460000000000003</v>
      </c>
    </row>
    <row r="17" spans="14:16">
      <c r="N17" s="24">
        <f>($B$10/5)</f>
        <v>5.4295999999999997E-2</v>
      </c>
      <c r="O17" s="37">
        <f>($C$10*Params!K11)</f>
        <v>68.513334315603359</v>
      </c>
      <c r="P17" s="37">
        <f>(O17*N17)</f>
        <v>3.7199999999999998</v>
      </c>
    </row>
    <row r="19" spans="14:16">
      <c r="P19" s="37">
        <f>(SUM(P14:P17))</f>
        <v>8.463000000000001</v>
      </c>
    </row>
  </sheetData>
  <conditionalFormatting sqref="C5">
    <cfRule type="cellIs" dxfId="213" priority="15" operator="lessThan">
      <formula>$J$3</formula>
    </cfRule>
    <cfRule type="cellIs" dxfId="212" priority="16" operator="greaterThan">
      <formula>$J$3</formula>
    </cfRule>
  </conditionalFormatting>
  <conditionalFormatting sqref="C9:C10">
    <cfRule type="cellIs" dxfId="211" priority="13" operator="lessThan">
      <formula>$J$3</formula>
    </cfRule>
    <cfRule type="cellIs" dxfId="210" priority="14" operator="greaterThan">
      <formula>$J$3</formula>
    </cfRule>
  </conditionalFormatting>
  <conditionalFormatting sqref="S6">
    <cfRule type="cellIs" dxfId="209" priority="11" operator="lessThan">
      <formula>$J$3</formula>
    </cfRule>
    <cfRule type="cellIs" dxfId="208" priority="12" operator="greaterThan">
      <formula>$J$3</formula>
    </cfRule>
  </conditionalFormatting>
  <conditionalFormatting sqref="S9">
    <cfRule type="cellIs" dxfId="207" priority="9" operator="lessThan">
      <formula>$J$3</formula>
    </cfRule>
    <cfRule type="cellIs" dxfId="206" priority="10" operator="greaterThan">
      <formula>$J$3</formula>
    </cfRule>
  </conditionalFormatting>
  <conditionalFormatting sqref="O7:O9">
    <cfRule type="cellIs" dxfId="205" priority="7" operator="lessThan">
      <formula>$J$3</formula>
    </cfRule>
    <cfRule type="cellIs" dxfId="204" priority="8" operator="greaterThan">
      <formula>$J$3</formula>
    </cfRule>
  </conditionalFormatting>
  <conditionalFormatting sqref="O14:O17">
    <cfRule type="cellIs" dxfId="203" priority="5" operator="lessThan">
      <formula>$J$3</formula>
    </cfRule>
    <cfRule type="cellIs" dxfId="202" priority="6" operator="greaterThan">
      <formula>$J$3</formula>
    </cfRule>
  </conditionalFormatting>
  <conditionalFormatting sqref="O3">
    <cfRule type="cellIs" dxfId="201" priority="3" operator="greaterThan">
      <formula>$J$3</formula>
    </cfRule>
    <cfRule type="cellIs" dxfId="200" priority="4" operator="lessThan">
      <formula>$J$3</formula>
    </cfRule>
  </conditionalFormatting>
  <conditionalFormatting sqref="G12">
    <cfRule type="cellIs" dxfId="199" priority="1" operator="lessThan">
      <formula>$J$3</formula>
    </cfRule>
    <cfRule type="cellIs" dxfId="198" priority="2" operator="greaterThan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>
  <dimension ref="B3:T15"/>
  <sheetViews>
    <sheetView workbookViewId="0">
      <selection activeCell="S6" sqref="S6"/>
    </sheetView>
  </sheetViews>
  <sheetFormatPr baseColWidth="10" defaultColWidth="9.140625" defaultRowHeight="15"/>
  <cols>
    <col min="3" max="3" width="12.28515625" style="14" customWidth="1"/>
    <col min="4" max="4" width="10.28515625" style="14" bestFit="1" customWidth="1"/>
    <col min="7" max="7" width="10" style="14" bestFit="1" customWidth="1"/>
    <col min="9" max="9" width="12.42578125" style="14" bestFit="1" customWidth="1"/>
    <col min="10" max="10" width="10" style="14" bestFit="1" customWidth="1"/>
    <col min="14" max="14" width="10.140625" style="14" bestFit="1" customWidth="1"/>
    <col min="15" max="15" width="11.28515625" style="14" bestFit="1" customWidth="1"/>
    <col min="19" max="19" width="10" style="14" bestFit="1" customWidth="1"/>
    <col min="20" max="20" width="10.28515625" style="14" bestFit="1" customWidth="1"/>
  </cols>
  <sheetData>
    <row r="3" spans="2:20">
      <c r="I3" t="s">
        <v>3</v>
      </c>
      <c r="J3" s="46">
        <v>2.8459117955956939E-3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8">
        <f>(B13*J3)</f>
        <v>2.7186603748865736</v>
      </c>
      <c r="K4" s="4">
        <f>(J4/D13-1)</f>
        <v>-4.0075626037300305E-2</v>
      </c>
      <c r="R4" t="s">
        <v>5</v>
      </c>
      <c r="S4" t="s">
        <v>6</v>
      </c>
      <c r="T4" t="s">
        <v>7</v>
      </c>
    </row>
    <row r="5" spans="2:20">
      <c r="B5" s="19">
        <v>883.65</v>
      </c>
      <c r="C5" s="46">
        <f t="shared" ref="C5:C11" si="0">(D5/B5)</f>
        <v>3.3950093362756749E-3</v>
      </c>
      <c r="D5" s="37">
        <v>3</v>
      </c>
      <c r="E5" t="s">
        <v>81</v>
      </c>
      <c r="N5" t="s">
        <v>29</v>
      </c>
      <c r="O5" t="s">
        <v>1</v>
      </c>
      <c r="P5" t="s">
        <v>2</v>
      </c>
      <c r="R5" s="19">
        <f>(B5)</f>
        <v>883.65</v>
      </c>
      <c r="S5" s="46">
        <f>(T5/R5)</f>
        <v>3.3950093362756749E-3</v>
      </c>
      <c r="T5" s="38">
        <f>(D5)</f>
        <v>3</v>
      </c>
    </row>
    <row r="6" spans="2:20">
      <c r="B6" s="19">
        <v>-170.21276596000001</v>
      </c>
      <c r="C6" s="46">
        <f t="shared" si="0"/>
        <v>4.5729766249314055E-3</v>
      </c>
      <c r="D6" s="37">
        <v>-0.77837900000000004</v>
      </c>
      <c r="M6" t="s">
        <v>11</v>
      </c>
      <c r="N6" s="19">
        <f>(($B$5+$R$6)/5)</f>
        <v>191.05724773999998</v>
      </c>
      <c r="O6" s="46">
        <f>(C6)</f>
        <v>4.5729766249314055E-3</v>
      </c>
      <c r="P6" s="37">
        <f>(O6*N6)</f>
        <v>0.87370032793874852</v>
      </c>
      <c r="R6" s="19">
        <f>(SUM(B6:B11))</f>
        <v>71.63623869999995</v>
      </c>
      <c r="S6" s="46">
        <v>0</v>
      </c>
      <c r="T6" s="38">
        <f>(SUM(D6:D11))</f>
        <v>-0.16783900000000007</v>
      </c>
    </row>
    <row r="7" spans="2:20">
      <c r="B7" s="19">
        <v>-175.57251908000001</v>
      </c>
      <c r="C7" s="46">
        <f t="shared" si="0"/>
        <v>5.0894468262020218E-3</v>
      </c>
      <c r="D7" s="37">
        <v>-0.893567</v>
      </c>
      <c r="N7" s="19">
        <f>(($B$5+$R$6)/5)</f>
        <v>191.05724773999998</v>
      </c>
      <c r="O7" s="46">
        <f>($C$5*Params!K9)</f>
        <v>5.4320149380410803E-3</v>
      </c>
      <c r="P7" s="37">
        <f>(O7*N7)</f>
        <v>1.0378258237446953</v>
      </c>
      <c r="S7" s="46"/>
    </row>
    <row r="8" spans="2:20">
      <c r="B8" s="19">
        <v>-167.78523490000001</v>
      </c>
      <c r="C8" s="46">
        <f t="shared" si="0"/>
        <v>7.2337771599710653E-3</v>
      </c>
      <c r="D8" s="37">
        <v>-1.213721</v>
      </c>
      <c r="N8" s="19">
        <f>(($B$5+$R$6)/5)</f>
        <v>191.05724773999998</v>
      </c>
      <c r="O8" s="46">
        <f>($C$5*Params!K10)</f>
        <v>7.4690205398064849E-3</v>
      </c>
      <c r="P8" s="37">
        <f>(O8*N8)</f>
        <v>1.4270105076489559</v>
      </c>
    </row>
    <row r="9" spans="2:20">
      <c r="B9" s="19">
        <v>196.03891277</v>
      </c>
      <c r="C9" s="46">
        <f t="shared" si="0"/>
        <v>5.7642178485542315E-3</v>
      </c>
      <c r="D9" s="37">
        <v>1.1300110000000001</v>
      </c>
      <c r="N9" s="19">
        <f>(($B$5+$R$6)/5)</f>
        <v>191.05724773999998</v>
      </c>
      <c r="O9" s="46">
        <f>($C$5*Params!K11)</f>
        <v>1.35800373451027E-2</v>
      </c>
      <c r="P9" s="37">
        <f>(O9*N9)</f>
        <v>2.5945645593617379</v>
      </c>
    </row>
    <row r="10" spans="2:20">
      <c r="B10" s="19">
        <v>197.79050007999999</v>
      </c>
      <c r="C10" s="46">
        <f t="shared" si="0"/>
        <v>4.2977797197346571E-3</v>
      </c>
      <c r="D10" s="37">
        <v>0.85006000000000004</v>
      </c>
    </row>
    <row r="11" spans="2:20">
      <c r="B11" s="19">
        <v>191.37734578999999</v>
      </c>
      <c r="C11" s="46">
        <f t="shared" si="0"/>
        <v>3.8549860588491342E-3</v>
      </c>
      <c r="D11" s="37">
        <v>0.737757</v>
      </c>
    </row>
    <row r="12" spans="2:20">
      <c r="F12" t="s">
        <v>9</v>
      </c>
      <c r="G12" s="46">
        <f>(D13/B13)</f>
        <v>2.9647250062495851E-3</v>
      </c>
      <c r="P12" s="37">
        <f>(SUM(P6:P9))</f>
        <v>5.9331012186941372</v>
      </c>
    </row>
    <row r="13" spans="2:20">
      <c r="B13">
        <f>(SUM(B5:B12))</f>
        <v>955.28623870000001</v>
      </c>
      <c r="D13" s="38">
        <f>(SUM(D5:D12))</f>
        <v>2.8321610000000002</v>
      </c>
    </row>
    <row r="15" spans="2:20">
      <c r="R15">
        <f>(SUM(R5:R14))</f>
        <v>955.2862386999999</v>
      </c>
      <c r="T15" s="38">
        <f>(SUM(T5:T14))</f>
        <v>2.8321610000000002</v>
      </c>
    </row>
  </sheetData>
  <conditionalFormatting sqref="C5">
    <cfRule type="cellIs" dxfId="197" priority="17" operator="lessThan">
      <formula>$J$3</formula>
    </cfRule>
    <cfRule type="cellIs" dxfId="196" priority="18" operator="greaterThan">
      <formula>$J$3</formula>
    </cfRule>
  </conditionalFormatting>
  <conditionalFormatting sqref="C9:C11">
    <cfRule type="cellIs" dxfId="195" priority="15" operator="lessThan">
      <formula>$J$3</formula>
    </cfRule>
    <cfRule type="cellIs" dxfId="194" priority="16" operator="greaterThan">
      <formula>$J$3</formula>
    </cfRule>
    <cfRule type="cellIs" dxfId="193" priority="13" operator="lessThan">
      <formula>$J$3</formula>
    </cfRule>
    <cfRule type="cellIs" dxfId="192" priority="14" operator="greaterThan">
      <formula>$J$3</formula>
    </cfRule>
  </conditionalFormatting>
  <conditionalFormatting sqref="O6:O9">
    <cfRule type="cellIs" dxfId="191" priority="11" operator="lessThan">
      <formula>$J$3</formula>
    </cfRule>
    <cfRule type="cellIs" dxfId="190" priority="12" operator="greaterThan">
      <formula>$J$3</formula>
    </cfRule>
    <cfRule type="cellIs" dxfId="189" priority="9" operator="lessThan">
      <formula>$J$3</formula>
    </cfRule>
    <cfRule type="cellIs" dxfId="188" priority="10" operator="greaterThan">
      <formula>$J$3</formula>
    </cfRule>
  </conditionalFormatting>
  <conditionalFormatting sqref="S5">
    <cfRule type="cellIs" dxfId="187" priority="7" operator="lessThan">
      <formula>$J$3</formula>
    </cfRule>
    <cfRule type="cellIs" dxfId="186" priority="8" operator="greaterThan">
      <formula>$J$3</formula>
    </cfRule>
    <cfRule type="cellIs" dxfId="185" priority="5" operator="lessThan">
      <formula>$J$3</formula>
    </cfRule>
    <cfRule type="cellIs" dxfId="184" priority="6" operator="greaterThan">
      <formula>$J$3</formula>
    </cfRule>
  </conditionalFormatting>
  <conditionalFormatting sqref="G12">
    <cfRule type="cellIs" dxfId="183" priority="3" operator="lessThan">
      <formula>$J$3</formula>
    </cfRule>
    <cfRule type="cellIs" dxfId="182" priority="4" operator="greaterThan">
      <formula>$J$3</formula>
    </cfRule>
    <cfRule type="cellIs" dxfId="181" priority="1" operator="lessThan">
      <formula>$J$3</formula>
    </cfRule>
    <cfRule type="cellIs" dxfId="180" priority="2" operator="greaterThan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>
  <dimension ref="B3:U35"/>
  <sheetViews>
    <sheetView workbookViewId="0">
      <selection activeCell="N6" sqref="N6:N9"/>
    </sheetView>
  </sheetViews>
  <sheetFormatPr baseColWidth="10" defaultColWidth="9.140625" defaultRowHeight="15"/>
  <cols>
    <col min="2" max="2" width="11" style="14" bestFit="1" customWidth="1"/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0.5703125" style="14" bestFit="1" customWidth="1"/>
    <col min="20" max="20" width="10.28515625" style="14" bestFit="1" customWidth="1"/>
  </cols>
  <sheetData>
    <row r="3" spans="2:21">
      <c r="I3" t="s">
        <v>3</v>
      </c>
      <c r="J3" s="37">
        <v>313.26242382681897</v>
      </c>
    </row>
    <row r="4" spans="2:21">
      <c r="B4" t="s">
        <v>5</v>
      </c>
      <c r="C4" t="s">
        <v>6</v>
      </c>
      <c r="D4" t="s">
        <v>7</v>
      </c>
      <c r="I4" t="s">
        <v>8</v>
      </c>
      <c r="J4" s="37">
        <f>(B15*J3)</f>
        <v>133.01517539603179</v>
      </c>
      <c r="K4" s="4">
        <f>(J4/D15-1)</f>
        <v>2.7007469354145996E-2</v>
      </c>
      <c r="R4" t="s">
        <v>5</v>
      </c>
      <c r="S4" t="s">
        <v>6</v>
      </c>
      <c r="T4" t="s">
        <v>7</v>
      </c>
    </row>
    <row r="5" spans="2:21">
      <c r="B5" s="47">
        <v>2.1511999999999999E-4</v>
      </c>
      <c r="C5" s="37">
        <v>244</v>
      </c>
      <c r="D5" s="37">
        <f>(B5*C5)</f>
        <v>5.2489279999999999E-2</v>
      </c>
      <c r="M5" t="s">
        <v>10</v>
      </c>
      <c r="N5" t="s">
        <v>29</v>
      </c>
      <c r="O5" t="s">
        <v>1</v>
      </c>
      <c r="P5" t="s">
        <v>2</v>
      </c>
      <c r="R5" s="47">
        <f>(B5+B13+B9)</f>
        <v>2.31774E-3</v>
      </c>
      <c r="S5" s="37">
        <f>(T5/R5)</f>
        <v>249.20103203983189</v>
      </c>
      <c r="T5" s="37">
        <f>(D5+D13+D9)</f>
        <v>0.57758319999999996</v>
      </c>
    </row>
    <row r="6" spans="2:21">
      <c r="B6" s="47">
        <v>6.6478800000000001E-3</v>
      </c>
      <c r="C6" s="37">
        <v>373</v>
      </c>
      <c r="D6" s="37">
        <f>(C6*B6)</f>
        <v>2.4796592400000002</v>
      </c>
      <c r="M6" t="s">
        <v>11</v>
      </c>
      <c r="N6" s="24">
        <f>($R$8/5)</f>
        <v>6.5532000000000007E-2</v>
      </c>
      <c r="O6" s="37">
        <f>($S$8*Params!K8)</f>
        <v>396.5940303973631</v>
      </c>
      <c r="P6" s="37">
        <f>(O6*N6)</f>
        <v>25.989600000000003</v>
      </c>
      <c r="R6" s="47">
        <f>(B6)</f>
        <v>6.6478800000000001E-3</v>
      </c>
      <c r="S6" s="37">
        <f>(C6)</f>
        <v>373</v>
      </c>
      <c r="T6" s="37">
        <f>(R6*S6)</f>
        <v>2.4796592400000002</v>
      </c>
    </row>
    <row r="7" spans="2:21">
      <c r="B7" s="47">
        <v>2.3499999999999999E-4</v>
      </c>
      <c r="C7" s="37">
        <v>0</v>
      </c>
      <c r="D7" s="37">
        <v>0</v>
      </c>
      <c r="E7" s="37">
        <f>(B7*J3)</f>
        <v>7.3616669599302451E-2</v>
      </c>
      <c r="N7" s="24">
        <f>($R$8/5)</f>
        <v>6.5532000000000007E-2</v>
      </c>
      <c r="O7" s="37">
        <f>($S$8*Params!K9)</f>
        <v>488.11572971983151</v>
      </c>
      <c r="P7" s="37">
        <f>(O7*N7)</f>
        <v>31.987200000000001</v>
      </c>
      <c r="R7" s="47">
        <f>(B7+B8+B10)</f>
        <v>6.3699000000000004E-4</v>
      </c>
      <c r="S7" s="37">
        <f>(C7)</f>
        <v>0</v>
      </c>
      <c r="T7" s="37">
        <f>(R7*S7)</f>
        <v>0</v>
      </c>
    </row>
    <row r="8" spans="2:21">
      <c r="B8" s="47">
        <v>9.4980000000000002E-5</v>
      </c>
      <c r="C8" s="37">
        <v>0</v>
      </c>
      <c r="D8" s="37">
        <v>0</v>
      </c>
      <c r="E8" s="37">
        <f>(B8*J3)</f>
        <v>2.9753665015071266E-2</v>
      </c>
      <c r="N8" s="24">
        <f>($R$8/5)</f>
        <v>6.5532000000000007E-2</v>
      </c>
      <c r="O8" s="37">
        <f>($S$8*Params!K10)</f>
        <v>671.15912836476832</v>
      </c>
      <c r="P8" s="37">
        <f>(O8*N8)</f>
        <v>43.982400000000005</v>
      </c>
      <c r="R8" s="47">
        <f>(B11)</f>
        <v>0.32766000000000001</v>
      </c>
      <c r="S8" s="37">
        <f>(C11)</f>
        <v>305.07233107489469</v>
      </c>
      <c r="T8" s="37">
        <f>(R8*S8)</f>
        <v>99.96</v>
      </c>
      <c r="U8" t="s">
        <v>10</v>
      </c>
    </row>
    <row r="9" spans="2:21">
      <c r="B9" s="47">
        <v>9.0920000000000004E-5</v>
      </c>
      <c r="C9" s="37">
        <v>276</v>
      </c>
      <c r="D9" s="37">
        <f>(B9*C9)</f>
        <v>2.5093920000000002E-2</v>
      </c>
      <c r="E9" s="37"/>
      <c r="N9" s="24">
        <f>($R$8/5)</f>
        <v>6.5532000000000007E-2</v>
      </c>
      <c r="O9" s="37">
        <f>($S$8*Params!K11)</f>
        <v>1220.2893242995788</v>
      </c>
      <c r="P9" s="37">
        <f>(O9*N9)</f>
        <v>79.968000000000004</v>
      </c>
      <c r="R9" s="47">
        <f>(B12)</f>
        <v>8.7349999999999997E-2</v>
      </c>
      <c r="S9" s="37">
        <f>(C12)</f>
        <v>303.37721808815115</v>
      </c>
      <c r="T9" s="37">
        <f>(R9*S9)</f>
        <v>26.500000000000004</v>
      </c>
      <c r="U9" t="s">
        <v>15</v>
      </c>
    </row>
    <row r="10" spans="2:21">
      <c r="B10" s="47">
        <v>3.0700999999999998E-4</v>
      </c>
      <c r="C10" s="37">
        <v>0</v>
      </c>
      <c r="D10" s="37">
        <v>0</v>
      </c>
      <c r="E10" s="37">
        <f>(B10*J3)</f>
        <v>9.6174696739071683E-2</v>
      </c>
      <c r="P10" s="37"/>
      <c r="R10" s="47"/>
    </row>
    <row r="11" spans="2:21">
      <c r="B11" s="47">
        <v>0.32766000000000001</v>
      </c>
      <c r="C11" s="37">
        <f>(D11/B11)</f>
        <v>305.07233107489469</v>
      </c>
      <c r="D11" s="37">
        <v>99.96</v>
      </c>
      <c r="E11" t="s">
        <v>10</v>
      </c>
      <c r="P11" s="37">
        <f>(SUM(P6:P9))</f>
        <v>181.92720000000003</v>
      </c>
    </row>
    <row r="12" spans="2:21">
      <c r="B12" s="47">
        <v>8.7349999999999997E-2</v>
      </c>
      <c r="C12" s="37">
        <f>(D12/B12)</f>
        <v>303.37721808815115</v>
      </c>
      <c r="D12" s="37">
        <v>26.5</v>
      </c>
      <c r="E12" t="s">
        <v>15</v>
      </c>
    </row>
    <row r="13" spans="2:21">
      <c r="B13" s="47">
        <v>2.0116999999999999E-3</v>
      </c>
      <c r="C13" s="37">
        <f>(D13/B13)</f>
        <v>248.54600586568574</v>
      </c>
      <c r="D13" s="37">
        <v>0.5</v>
      </c>
      <c r="M13" t="s">
        <v>15</v>
      </c>
      <c r="N13" t="s">
        <v>29</v>
      </c>
      <c r="O13" t="s">
        <v>1</v>
      </c>
      <c r="P13" t="s">
        <v>2</v>
      </c>
    </row>
    <row r="14" spans="2:21">
      <c r="M14" t="s">
        <v>11</v>
      </c>
      <c r="N14" s="24">
        <f>($R$9/5)</f>
        <v>1.7469999999999999E-2</v>
      </c>
      <c r="O14" s="37">
        <f>($S$9*Params!K8)</f>
        <v>394.39038351459652</v>
      </c>
      <c r="P14" s="37">
        <f>(O14*N14)</f>
        <v>6.8900000000000006</v>
      </c>
    </row>
    <row r="15" spans="2:21">
      <c r="B15" s="47">
        <f>(SUM(B5:B14))</f>
        <v>0.42461261</v>
      </c>
      <c r="D15" s="37">
        <f>(SUM(D5:D14))</f>
        <v>129.51724243999999</v>
      </c>
      <c r="F15" t="s">
        <v>9</v>
      </c>
      <c r="G15" s="37">
        <f>(SUM(D5:D14)/SUM(B5:B14))</f>
        <v>305.02448441180303</v>
      </c>
      <c r="N15" s="24">
        <f>($R$9/5)</f>
        <v>1.7469999999999999E-2</v>
      </c>
      <c r="O15" s="37">
        <f>($S$9*Params!K9)</f>
        <v>485.40354894104189</v>
      </c>
      <c r="P15" s="37">
        <f>(O15*N15)</f>
        <v>8.4800000000000022</v>
      </c>
    </row>
    <row r="16" spans="2:21">
      <c r="N16" s="24">
        <f>($R$9/5)</f>
        <v>1.7469999999999999E-2</v>
      </c>
      <c r="O16" s="37">
        <f>($S$9*Params!K10)</f>
        <v>667.42987979393263</v>
      </c>
      <c r="P16" s="37">
        <f>(O16*N16)</f>
        <v>11.660000000000002</v>
      </c>
    </row>
    <row r="17" spans="13:16">
      <c r="N17" s="24">
        <f>($R$9/5)</f>
        <v>1.7469999999999999E-2</v>
      </c>
      <c r="O17" s="37">
        <f>($S$9*Params!K11)</f>
        <v>1213.5088723526046</v>
      </c>
      <c r="P17" s="37">
        <f>(O17*N17)</f>
        <v>21.200000000000003</v>
      </c>
    </row>
    <row r="18" spans="13:16">
      <c r="P18" s="37"/>
    </row>
    <row r="19" spans="13:16">
      <c r="P19" s="37">
        <f>(SUM(P14:P17))</f>
        <v>48.230000000000004</v>
      </c>
    </row>
    <row r="21" spans="13:16">
      <c r="N21" t="s">
        <v>29</v>
      </c>
      <c r="O21" t="s">
        <v>1</v>
      </c>
      <c r="P21" t="s">
        <v>2</v>
      </c>
    </row>
    <row r="22" spans="13:16">
      <c r="M22" t="s">
        <v>11</v>
      </c>
      <c r="N22" s="24">
        <f>(($R$5+$R$7)/5)</f>
        <v>5.9094599999999996E-4</v>
      </c>
      <c r="O22" s="37">
        <f>($S$5*Params!K8)</f>
        <v>323.96134165178148</v>
      </c>
      <c r="P22" s="37">
        <f>(O22*N22)</f>
        <v>0.19144365900375365</v>
      </c>
    </row>
    <row r="23" spans="13:16">
      <c r="N23" s="24">
        <f>(($R$5+$R$7)/5)</f>
        <v>5.9094599999999996E-4</v>
      </c>
      <c r="O23" s="37">
        <f>($S$5*Params!K9)</f>
        <v>398.72165126373102</v>
      </c>
      <c r="P23" s="37">
        <f>(O23*N23)</f>
        <v>0.23562296492769677</v>
      </c>
    </row>
    <row r="24" spans="13:16">
      <c r="N24" s="24">
        <f>(($R$5+$R$7)/5)</f>
        <v>5.9094599999999996E-4</v>
      </c>
      <c r="O24" s="37">
        <f>($S$5*Params!K10)</f>
        <v>548.24227048763021</v>
      </c>
      <c r="P24" s="37">
        <f>(O24*N24)</f>
        <v>0.32398157677558309</v>
      </c>
    </row>
    <row r="25" spans="13:16">
      <c r="N25" s="24">
        <f>(($R$5+$R$7)/5)</f>
        <v>5.9094599999999996E-4</v>
      </c>
      <c r="O25" s="37">
        <f>($S$5*Params!K11)</f>
        <v>996.80412815932755</v>
      </c>
      <c r="P25" s="37">
        <f>(O25*N25)</f>
        <v>0.58905741231924191</v>
      </c>
    </row>
    <row r="26" spans="13:16">
      <c r="P26" s="37"/>
    </row>
    <row r="27" spans="13:16">
      <c r="P27" s="37">
        <f>(SUM(P22:P25))</f>
        <v>1.3401056130262754</v>
      </c>
    </row>
    <row r="35" spans="18:20">
      <c r="R35" s="47">
        <f>(SUM(R5:R25))</f>
        <v>0.42461261</v>
      </c>
      <c r="T35" s="37">
        <f>(SUM(T5:T25))</f>
        <v>129.51724243999999</v>
      </c>
    </row>
  </sheetData>
  <conditionalFormatting sqref="C5:C6 C9 C11:C13">
    <cfRule type="cellIs" dxfId="179" priority="9" operator="lessThan">
      <formula>$J$3</formula>
    </cfRule>
    <cfRule type="cellIs" dxfId="178" priority="10" operator="greaterThan">
      <formula>$J$3</formula>
    </cfRule>
  </conditionalFormatting>
  <conditionalFormatting sqref="O6:O9">
    <cfRule type="cellIs" dxfId="177" priority="7" operator="lessThan">
      <formula>$J$3</formula>
    </cfRule>
    <cfRule type="cellIs" dxfId="176" priority="8" operator="greaterThan">
      <formula>$J$3</formula>
    </cfRule>
  </conditionalFormatting>
  <conditionalFormatting sqref="O14:O17">
    <cfRule type="cellIs" dxfId="175" priority="5" operator="lessThan">
      <formula>$J$3</formula>
    </cfRule>
    <cfRule type="cellIs" dxfId="174" priority="6" operator="greaterThan">
      <formula>$J$3</formula>
    </cfRule>
  </conditionalFormatting>
  <conditionalFormatting sqref="O22:O25">
    <cfRule type="cellIs" dxfId="173" priority="3" operator="lessThan">
      <formula>$J$3</formula>
    </cfRule>
    <cfRule type="cellIs" dxfId="172" priority="4" operator="greaterThan">
      <formula>$J$3</formula>
    </cfRule>
  </conditionalFormatting>
  <conditionalFormatting sqref="S5:S6 S8:S9">
    <cfRule type="cellIs" dxfId="171" priority="1" operator="lessThan">
      <formula>$J$3</formula>
    </cfRule>
    <cfRule type="cellIs" dxfId="170" priority="2" operator="greaterThan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N6" sqref="N6:N9"/>
    </sheetView>
  </sheetViews>
  <sheetFormatPr baseColWidth="10" defaultColWidth="9.140625" defaultRowHeight="15"/>
  <cols>
    <col min="2" max="2" width="9.5703125" style="14" bestFit="1" customWidth="1"/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48">
        <v>7.2788742038808169E-2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7">
        <f>(B13*J3)</f>
        <v>4.458993578772021</v>
      </c>
      <c r="K4" s="4">
        <f>(J4/D13-1)</f>
        <v>-0.10820128424559583</v>
      </c>
    </row>
    <row r="5" spans="2:16">
      <c r="B5" s="29">
        <v>61.119118389999997</v>
      </c>
      <c r="C5" s="37">
        <f>(D5/B5)</f>
        <v>8.1807462733593267E-2</v>
      </c>
      <c r="D5" s="37">
        <v>5</v>
      </c>
      <c r="N5" t="s">
        <v>29</v>
      </c>
      <c r="O5" t="s">
        <v>1</v>
      </c>
      <c r="P5" t="s">
        <v>2</v>
      </c>
    </row>
    <row r="6" spans="2:16">
      <c r="B6" s="25">
        <v>0.14026669999999999</v>
      </c>
      <c r="C6" s="39">
        <v>0</v>
      </c>
      <c r="D6" s="26">
        <f>(B6*C6)</f>
        <v>0</v>
      </c>
      <c r="E6" s="37">
        <f>(B6*J3)</f>
        <v>1.0209836642934893E-2</v>
      </c>
      <c r="M6" t="s">
        <v>11</v>
      </c>
      <c r="N6" s="29">
        <f>($B$13/5)</f>
        <v>12.251877017999998</v>
      </c>
      <c r="O6" s="37">
        <f>($C$5*Params!K8)</f>
        <v>0.10634970155367125</v>
      </c>
      <c r="P6" s="37">
        <f>(O6*N6)</f>
        <v>1.3029834643365836</v>
      </c>
    </row>
    <row r="7" spans="2:16">
      <c r="N7" s="29">
        <f>($B$13/5)</f>
        <v>12.251877017999998</v>
      </c>
      <c r="O7" s="37">
        <f>($C$5*Params!K9)</f>
        <v>0.13089194037374924</v>
      </c>
      <c r="P7" s="37">
        <f>(O7*N7)</f>
        <v>1.6036719561065644</v>
      </c>
    </row>
    <row r="8" spans="2:16">
      <c r="N8" s="29">
        <f>($B$13/5)</f>
        <v>12.251877017999998</v>
      </c>
      <c r="O8" s="37">
        <f>($C$5*Params!K10)</f>
        <v>0.17997641801390521</v>
      </c>
      <c r="P8" s="37">
        <f>(O8*N8)</f>
        <v>2.205048939646526</v>
      </c>
    </row>
    <row r="9" spans="2:16">
      <c r="N9" s="29">
        <f>($B$13/5)</f>
        <v>12.251877017999998</v>
      </c>
      <c r="O9" s="37">
        <f>($C$5*Params!K11)</f>
        <v>0.32722985093437307</v>
      </c>
      <c r="P9" s="37">
        <f>(O9*N9)</f>
        <v>4.0091798902664104</v>
      </c>
    </row>
    <row r="11" spans="2:16">
      <c r="P11" s="37">
        <f>(SUM(P6:P9))</f>
        <v>9.1208842503560845</v>
      </c>
    </row>
    <row r="12" spans="2:16">
      <c r="F12" t="s">
        <v>9</v>
      </c>
      <c r="G12" s="37">
        <f>(D13/B13)</f>
        <v>8.1620146735952165E-2</v>
      </c>
    </row>
    <row r="13" spans="2:16">
      <c r="B13" s="29">
        <f>(SUM(B5:B12))</f>
        <v>61.259385089999995</v>
      </c>
      <c r="D13" s="37">
        <f>(SUM(D5:D12))</f>
        <v>5</v>
      </c>
    </row>
  </sheetData>
  <conditionalFormatting sqref="O6:O9">
    <cfRule type="cellIs" dxfId="169" priority="5" operator="lessThan">
      <formula>$J$3</formula>
    </cfRule>
    <cfRule type="cellIs" dxfId="168" priority="6" operator="greaterThan">
      <formula>$J$3</formula>
    </cfRule>
  </conditionalFormatting>
  <conditionalFormatting sqref="C5">
    <cfRule type="cellIs" dxfId="167" priority="3" operator="lessThan">
      <formula>$J$3</formula>
    </cfRule>
    <cfRule type="cellIs" dxfId="166" priority="4" operator="greaterThan">
      <formula>$J$3</formula>
    </cfRule>
  </conditionalFormatting>
  <conditionalFormatting sqref="G12">
    <cfRule type="cellIs" dxfId="165" priority="1" operator="lessThan">
      <formula>$J$3</formula>
    </cfRule>
    <cfRule type="cellIs" dxfId="164" priority="2" operator="greaterThan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>
  <dimension ref="B2:U27"/>
  <sheetViews>
    <sheetView workbookViewId="0">
      <selection activeCell="B6" sqref="B6"/>
    </sheetView>
  </sheetViews>
  <sheetFormatPr baseColWidth="10" defaultColWidth="9.140625" defaultRowHeight="15"/>
  <cols>
    <col min="14" max="15" width="11.28515625" style="14" bestFit="1" customWidth="1"/>
  </cols>
  <sheetData>
    <row r="2" spans="2:21">
      <c r="N2" t="s">
        <v>1</v>
      </c>
      <c r="O2" t="s">
        <v>0</v>
      </c>
      <c r="P2" t="s">
        <v>2</v>
      </c>
    </row>
    <row r="3" spans="2:21">
      <c r="I3" t="s">
        <v>3</v>
      </c>
      <c r="J3" s="37">
        <v>5.3780216934622018</v>
      </c>
      <c r="M3" t="s">
        <v>4</v>
      </c>
      <c r="N3">
        <f>(INDEX(N6:N30,MATCH(MAX(O6,O15),O6:O30,0))/0.9)</f>
        <v>0.2123197</v>
      </c>
      <c r="O3" s="38">
        <f>(MAX(O6,O15)*0.85)</f>
        <v>5.0811065995591917</v>
      </c>
      <c r="P3">
        <f>(O3*N3)</f>
        <v>1.0788190288864277</v>
      </c>
    </row>
    <row r="4" spans="2:21">
      <c r="B4" t="s">
        <v>5</v>
      </c>
      <c r="C4" t="s">
        <v>6</v>
      </c>
      <c r="D4" t="s">
        <v>7</v>
      </c>
      <c r="I4" t="s">
        <v>8</v>
      </c>
      <c r="J4" s="37">
        <f>(B14*J3)</f>
        <v>23.756149684782159</v>
      </c>
      <c r="K4" s="4">
        <f>(J4/D14-1)</f>
        <v>-7.6510941167607482E-2</v>
      </c>
      <c r="R4" t="s">
        <v>5</v>
      </c>
      <c r="S4" t="s">
        <v>6</v>
      </c>
      <c r="T4" t="s">
        <v>7</v>
      </c>
    </row>
    <row r="5" spans="2:21">
      <c r="B5">
        <v>4.50692</v>
      </c>
      <c r="C5" s="37">
        <f>(D5/B5)</f>
        <v>5.8798469908496269</v>
      </c>
      <c r="D5" s="37">
        <v>26.5</v>
      </c>
      <c r="E5" t="s">
        <v>15</v>
      </c>
      <c r="M5" t="s">
        <v>15</v>
      </c>
      <c r="N5" t="s">
        <v>29</v>
      </c>
      <c r="O5" t="s">
        <v>1</v>
      </c>
      <c r="P5" t="s">
        <v>2</v>
      </c>
      <c r="R5" s="25">
        <f>(B6)</f>
        <v>1.2184149999999999E-2</v>
      </c>
      <c r="S5" s="39">
        <v>0</v>
      </c>
      <c r="T5" s="26">
        <f>(D6)</f>
        <v>0</v>
      </c>
      <c r="U5">
        <f>(R5*J3)</f>
        <v>6.5526623016397487E-2</v>
      </c>
    </row>
    <row r="6" spans="2:21">
      <c r="B6" s="25">
        <v>1.2184149999999999E-2</v>
      </c>
      <c r="C6" s="39">
        <v>0</v>
      </c>
      <c r="D6" s="26">
        <f>(B6*C6)</f>
        <v>0</v>
      </c>
      <c r="E6" s="37">
        <f>(B6*J3)</f>
        <v>6.5526623016397487E-2</v>
      </c>
      <c r="M6" t="s">
        <v>11</v>
      </c>
      <c r="N6" s="24">
        <f>(-B8)</f>
        <v>0.19108773000000001</v>
      </c>
      <c r="O6" s="37">
        <f>(C8)</f>
        <v>5.9777724700696373</v>
      </c>
      <c r="P6" s="37">
        <f>(O6*N6)</f>
        <v>1.1422789717621</v>
      </c>
      <c r="Q6" t="s">
        <v>12</v>
      </c>
      <c r="R6" s="24">
        <f>(B5-N6)</f>
        <v>4.3158322699999996</v>
      </c>
      <c r="S6" s="37">
        <f>(T6/R6)</f>
        <v>5.9316007479462103</v>
      </c>
      <c r="T6" s="37">
        <f>(D5+4.710957*-N6)</f>
        <v>25.599793920742389</v>
      </c>
      <c r="U6" t="s">
        <v>15</v>
      </c>
    </row>
    <row r="7" spans="2:21">
      <c r="B7" s="24">
        <v>0.11156135</v>
      </c>
      <c r="C7" s="37">
        <f>(D7/B7)</f>
        <v>4.4818389164347687</v>
      </c>
      <c r="D7" s="37">
        <v>0.5</v>
      </c>
      <c r="N7" s="24">
        <f>(2*($R$6+N6)/5-N6)</f>
        <v>1.6116802699999997</v>
      </c>
      <c r="O7" s="37">
        <f>($S$6*Params!K9)</f>
        <v>9.4905611967139372</v>
      </c>
      <c r="P7" s="37">
        <f>(O7*N7)</f>
        <v>15.295750231971438</v>
      </c>
      <c r="R7" s="24">
        <f>(N6-N6)</f>
        <v>0</v>
      </c>
      <c r="S7" s="37">
        <v>0</v>
      </c>
      <c r="T7" s="37">
        <f>(4.710957*N6-P6)</f>
        <v>-0.24207289250449004</v>
      </c>
    </row>
    <row r="8" spans="2:21">
      <c r="B8">
        <f>(-0.2134+N15)</f>
        <v>-0.19108773000000001</v>
      </c>
      <c r="C8" s="37">
        <f>(D8/B8)</f>
        <v>5.9777724700696373</v>
      </c>
      <c r="D8" s="37">
        <f>(-1.27565659-D9)</f>
        <v>-1.1422789717621</v>
      </c>
      <c r="N8" s="24">
        <f>($B$5/5)</f>
        <v>0.90138399999999996</v>
      </c>
      <c r="O8" s="37">
        <f>($C$5*Params!K10)</f>
        <v>12.93566337986918</v>
      </c>
      <c r="P8" s="37">
        <f>(O8*N8)</f>
        <v>11.66</v>
      </c>
      <c r="R8" s="24">
        <f>(B7+B9)</f>
        <v>8.9249080000000008E-2</v>
      </c>
      <c r="S8" s="37">
        <f>(T8/R8)</f>
        <v>4.1078561455434608</v>
      </c>
      <c r="T8" s="37">
        <f>(D7+D9)</f>
        <v>0.36662238176209999</v>
      </c>
    </row>
    <row r="9" spans="2:21">
      <c r="B9">
        <f>(-N15)</f>
        <v>-2.2312270000000002E-2</v>
      </c>
      <c r="C9" s="37">
        <v>5.9777699999999996</v>
      </c>
      <c r="D9" s="37">
        <f>(C9*B9)</f>
        <v>-0.13337761823790001</v>
      </c>
      <c r="N9" s="24">
        <f>($B$5/5)</f>
        <v>0.90138399999999996</v>
      </c>
      <c r="O9" s="37">
        <f>($C$5*Params!K11)</f>
        <v>23.519387963398508</v>
      </c>
      <c r="P9" s="37">
        <f>(O9*N9)</f>
        <v>21.2</v>
      </c>
    </row>
    <row r="10" spans="2:21">
      <c r="N10" s="24"/>
      <c r="P10" s="37"/>
    </row>
    <row r="11" spans="2:21">
      <c r="N11" s="24"/>
      <c r="P11" s="37"/>
    </row>
    <row r="12" spans="2:21">
      <c r="N12" s="24"/>
      <c r="P12" s="37">
        <f>(SUM(P6:P9))</f>
        <v>49.298029203733535</v>
      </c>
    </row>
    <row r="13" spans="2:21">
      <c r="F13" t="s">
        <v>9</v>
      </c>
      <c r="G13" s="37">
        <f>(D14/B14)</f>
        <v>5.8235900490925889</v>
      </c>
      <c r="N13" s="24"/>
      <c r="P13" s="37"/>
      <c r="R13" s="24">
        <f>(SUM(R5:R12))</f>
        <v>4.4172655000000001</v>
      </c>
      <c r="T13" s="37">
        <f>(SUM(T5:T12))</f>
        <v>25.724343409999999</v>
      </c>
    </row>
    <row r="14" spans="2:21">
      <c r="B14">
        <f>(SUM(B5:B13))</f>
        <v>4.4172655000000001</v>
      </c>
      <c r="D14" s="37">
        <f>(SUM(D5:D13))</f>
        <v>25.724343409999999</v>
      </c>
      <c r="N14" t="s">
        <v>29</v>
      </c>
      <c r="O14" t="s">
        <v>1</v>
      </c>
      <c r="P14" t="s">
        <v>2</v>
      </c>
    </row>
    <row r="15" spans="2:21">
      <c r="M15" t="s">
        <v>11</v>
      </c>
      <c r="N15" s="24">
        <f>($B$7/5)</f>
        <v>2.2312270000000002E-2</v>
      </c>
      <c r="O15" s="37">
        <f>(C9)</f>
        <v>5.9777699999999996</v>
      </c>
      <c r="P15" s="37">
        <f>(O15*N15)</f>
        <v>0.13337761823790001</v>
      </c>
      <c r="Q15" t="s">
        <v>12</v>
      </c>
    </row>
    <row r="16" spans="2:21">
      <c r="N16" s="24">
        <f>($B$7/5)</f>
        <v>2.2312270000000002E-2</v>
      </c>
      <c r="O16" s="37">
        <f>($C$7*Params!K9)</f>
        <v>7.1709422662956301</v>
      </c>
      <c r="P16" s="37">
        <f>(O16*N16)</f>
        <v>0.16</v>
      </c>
    </row>
    <row r="17" spans="7:16">
      <c r="N17" s="24">
        <f>($B$7/5)</f>
        <v>2.2312270000000002E-2</v>
      </c>
      <c r="O17" s="37">
        <f>($C$7*Params!K10)</f>
        <v>9.8600456161564924</v>
      </c>
      <c r="P17" s="37">
        <f>(O17*N17)</f>
        <v>0.22000000000000003</v>
      </c>
    </row>
    <row r="18" spans="7:16">
      <c r="N18" s="24">
        <f>($B$7/5)</f>
        <v>2.2312270000000002E-2</v>
      </c>
      <c r="O18" s="37">
        <f>($C$7*Params!K11)</f>
        <v>17.927355665739075</v>
      </c>
      <c r="P18" s="37">
        <f>(O18*N18)</f>
        <v>0.4</v>
      </c>
    </row>
    <row r="19" spans="7:16">
      <c r="P19" s="37"/>
    </row>
    <row r="20" spans="7:16">
      <c r="P20" s="37"/>
    </row>
    <row r="21" spans="7:16">
      <c r="P21" s="37">
        <f>(SUM(P15:P18))</f>
        <v>0.91337761823789998</v>
      </c>
    </row>
    <row r="27" spans="7:16">
      <c r="G27" s="38"/>
    </row>
  </sheetData>
  <conditionalFormatting sqref="C5 C7">
    <cfRule type="cellIs" dxfId="163" priority="13" operator="lessThan">
      <formula>$J$3</formula>
    </cfRule>
    <cfRule type="cellIs" dxfId="162" priority="14" operator="greaterThan">
      <formula>$J$3</formula>
    </cfRule>
  </conditionalFormatting>
  <conditionalFormatting sqref="G13">
    <cfRule type="cellIs" dxfId="161" priority="11" operator="lessThan">
      <formula>$J$3</formula>
    </cfRule>
    <cfRule type="cellIs" dxfId="160" priority="12" operator="greaterThan">
      <formula>$J$3</formula>
    </cfRule>
  </conditionalFormatting>
  <conditionalFormatting sqref="S6">
    <cfRule type="cellIs" dxfId="159" priority="9" operator="lessThan">
      <formula>$J$3</formula>
    </cfRule>
    <cfRule type="cellIs" dxfId="158" priority="10" operator="greaterThan">
      <formula>$J$3</formula>
    </cfRule>
  </conditionalFormatting>
  <conditionalFormatting sqref="S8">
    <cfRule type="cellIs" dxfId="157" priority="7" operator="lessThan">
      <formula>$J$3</formula>
    </cfRule>
    <cfRule type="cellIs" dxfId="156" priority="8" operator="greaterThan">
      <formula>$J$3</formula>
    </cfRule>
  </conditionalFormatting>
  <conditionalFormatting sqref="O7:O9">
    <cfRule type="cellIs" dxfId="155" priority="5" operator="lessThan">
      <formula>$J$3</formula>
    </cfRule>
    <cfRule type="cellIs" dxfId="154" priority="6" operator="greaterThan">
      <formula>$J$3</formula>
    </cfRule>
  </conditionalFormatting>
  <conditionalFormatting sqref="O16:O18">
    <cfRule type="cellIs" dxfId="153" priority="3" operator="lessThan">
      <formula>$J$3</formula>
    </cfRule>
    <cfRule type="cellIs" dxfId="152" priority="4" operator="greaterThan">
      <formula>$J$3</formula>
    </cfRule>
  </conditionalFormatting>
  <conditionalFormatting sqref="O3">
    <cfRule type="cellIs" dxfId="151" priority="1" operator="greaterThan">
      <formula>$J$3</formula>
    </cfRule>
    <cfRule type="cellIs" dxfId="150" priority="2" operator="lessThan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B6" sqref="B6:D6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7">
        <v>36.533404062277612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7">
        <f>(B13*J3)</f>
        <v>4.4929792291081529</v>
      </c>
      <c r="K4" s="4">
        <f>(J4/D13-1)</f>
        <v>-0.13596553286381674</v>
      </c>
    </row>
    <row r="5" spans="2:16">
      <c r="B5" s="24">
        <v>0.12084767</v>
      </c>
      <c r="C5" s="37">
        <v>43.03</v>
      </c>
      <c r="D5" s="37">
        <v>5.2</v>
      </c>
      <c r="N5" t="s">
        <v>29</v>
      </c>
      <c r="O5" t="s">
        <v>1</v>
      </c>
      <c r="P5" t="s">
        <v>2</v>
      </c>
    </row>
    <row r="6" spans="2:16">
      <c r="B6" s="25">
        <v>2.1351E-3</v>
      </c>
      <c r="C6" s="39">
        <v>0</v>
      </c>
      <c r="D6" s="26">
        <f>(B6*C6)</f>
        <v>0</v>
      </c>
      <c r="E6" s="37">
        <f>(B6*J3)</f>
        <v>7.8002471013368935E-2</v>
      </c>
      <c r="M6" t="s">
        <v>11</v>
      </c>
      <c r="N6" s="24">
        <f>($B$13/5)</f>
        <v>2.4596554E-2</v>
      </c>
      <c r="O6" s="37">
        <f>($C$5*Params!K8)</f>
        <v>55.939</v>
      </c>
      <c r="P6" s="37">
        <f>(O6*N6)</f>
        <v>1.375906634206</v>
      </c>
    </row>
    <row r="7" spans="2:16">
      <c r="N7" s="24">
        <f>($B$13/5)</f>
        <v>2.4596554E-2</v>
      </c>
      <c r="O7" s="37">
        <f>($C$5*Params!K9)</f>
        <v>68.847999999999999</v>
      </c>
      <c r="P7" s="37">
        <f>(O7*N7)</f>
        <v>1.693423549792</v>
      </c>
    </row>
    <row r="8" spans="2:16">
      <c r="N8" s="24">
        <f>($B$13/5)</f>
        <v>2.4596554E-2</v>
      </c>
      <c r="O8" s="37">
        <f>($C$5*Params!K10)</f>
        <v>94.666000000000011</v>
      </c>
      <c r="P8" s="37">
        <f>(O8*N8)</f>
        <v>2.3284573809640001</v>
      </c>
    </row>
    <row r="9" spans="2:16">
      <c r="N9" s="24">
        <f>($B$13/5)</f>
        <v>2.4596554E-2</v>
      </c>
      <c r="O9" s="37">
        <f>($C$5*Params!K11)</f>
        <v>172.12</v>
      </c>
      <c r="P9" s="37">
        <f>(O9*N9)</f>
        <v>4.2335588744799999</v>
      </c>
    </row>
    <row r="11" spans="2:16">
      <c r="P11" s="37">
        <f>(SUM(P6:P9))</f>
        <v>9.6313464394419999</v>
      </c>
    </row>
    <row r="12" spans="2:16">
      <c r="F12" t="s">
        <v>9</v>
      </c>
      <c r="G12" s="37">
        <f>(D13/B13)</f>
        <v>42.282345730218957</v>
      </c>
    </row>
    <row r="13" spans="2:16">
      <c r="B13">
        <f>(SUM(B5:B12))</f>
        <v>0.12298277000000001</v>
      </c>
      <c r="D13" s="37">
        <f>(SUM(D5:D12))</f>
        <v>5.2</v>
      </c>
    </row>
  </sheetData>
  <conditionalFormatting sqref="C5">
    <cfRule type="cellIs" dxfId="149" priority="3" operator="lessThan">
      <formula>$J$3</formula>
    </cfRule>
    <cfRule type="cellIs" dxfId="148" priority="4" operator="greaterThan">
      <formula>$J$3</formula>
    </cfRule>
  </conditionalFormatting>
  <conditionalFormatting sqref="O6:O9">
    <cfRule type="cellIs" dxfId="147" priority="1" operator="lessThan">
      <formula>$J$3</formula>
    </cfRule>
    <cfRule type="cellIs" dxfId="146" priority="2" operator="greaterThan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>
  <dimension ref="B3:P12"/>
  <sheetViews>
    <sheetView workbookViewId="0">
      <selection activeCell="N6" sqref="N6"/>
    </sheetView>
  </sheetViews>
  <sheetFormatPr baseColWidth="10" defaultColWidth="9.140625" defaultRowHeight="15"/>
  <cols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7">
        <v>5.0523316480170521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7">
        <f>(B10*J3)</f>
        <v>5.292278599390805</v>
      </c>
      <c r="K4" s="4">
        <f>(J4/D10-1)</f>
        <v>-5.6634830768127475E-2</v>
      </c>
    </row>
    <row r="5" spans="2:16">
      <c r="B5">
        <v>1.04708</v>
      </c>
      <c r="C5" s="37">
        <f>(D5/B5)</f>
        <v>5.3577568094128436</v>
      </c>
      <c r="D5" s="37">
        <v>5.61</v>
      </c>
      <c r="E5" t="s">
        <v>80</v>
      </c>
      <c r="M5" t="s">
        <v>80</v>
      </c>
      <c r="N5" t="s">
        <v>29</v>
      </c>
      <c r="O5" t="s">
        <v>1</v>
      </c>
      <c r="P5" t="s">
        <v>2</v>
      </c>
    </row>
    <row r="6" spans="2:16">
      <c r="B6" s="2">
        <v>4.1231999999999998E-4</v>
      </c>
      <c r="C6" s="39">
        <v>0</v>
      </c>
      <c r="D6" s="26">
        <f>(B6*C6)</f>
        <v>0</v>
      </c>
      <c r="E6" s="37">
        <f>(B6*J3)</f>
        <v>2.0831773851103909E-3</v>
      </c>
      <c r="M6" t="s">
        <v>11</v>
      </c>
      <c r="N6" s="24">
        <f>($B$10/5)</f>
        <v>0.209498464</v>
      </c>
      <c r="O6" s="37">
        <f>($C$5*Params!K8)</f>
        <v>6.9650838522366971</v>
      </c>
      <c r="P6" s="37">
        <f>(O6*N6)</f>
        <v>1.4591743686747909</v>
      </c>
    </row>
    <row r="7" spans="2:16">
      <c r="N7" s="24">
        <f>($B$10/5)</f>
        <v>0.209498464</v>
      </c>
      <c r="O7" s="37">
        <f>($C$5*Params!K9)</f>
        <v>8.5724108950605498</v>
      </c>
      <c r="P7" s="37">
        <f>(O7*N7)</f>
        <v>1.7959069152920504</v>
      </c>
    </row>
    <row r="8" spans="2:16">
      <c r="N8" s="24">
        <f>($B$10/5)</f>
        <v>0.209498464</v>
      </c>
      <c r="O8" s="37">
        <f>($C$5*Params!K10)</f>
        <v>11.787064980708257</v>
      </c>
      <c r="P8" s="37">
        <f>(O8*N8)</f>
        <v>2.4693720085265696</v>
      </c>
    </row>
    <row r="9" spans="2:16">
      <c r="F9" t="s">
        <v>9</v>
      </c>
      <c r="G9" s="37">
        <f>(D10/B10)</f>
        <v>5.3556478581150841</v>
      </c>
      <c r="N9" s="24">
        <f>($B$10/5)</f>
        <v>0.209498464</v>
      </c>
      <c r="O9" s="37">
        <f>($C$5*Params!K11)</f>
        <v>21.431027237651374</v>
      </c>
      <c r="P9" s="37">
        <f>(O9*N9)</f>
        <v>4.4897672882301256</v>
      </c>
    </row>
    <row r="10" spans="2:16">
      <c r="B10">
        <f>(SUM(B5:B9))</f>
        <v>1.0474923199999999</v>
      </c>
      <c r="D10" s="37">
        <f>(SUM(D5:D9))</f>
        <v>5.61</v>
      </c>
    </row>
    <row r="11" spans="2:16">
      <c r="P11" s="37">
        <f>(SUM(P6:P9))</f>
        <v>10.214220580723538</v>
      </c>
    </row>
    <row r="12" spans="2:16">
      <c r="P12" s="37"/>
    </row>
  </sheetData>
  <conditionalFormatting sqref="C5">
    <cfRule type="cellIs" dxfId="145" priority="5" operator="lessThan">
      <formula>$J$3</formula>
    </cfRule>
    <cfRule type="cellIs" dxfId="144" priority="6" operator="greaterThan">
      <formula>$J$3</formula>
    </cfRule>
  </conditionalFormatting>
  <conditionalFormatting sqref="O6:O9">
    <cfRule type="cellIs" dxfId="143" priority="3" operator="lessThan">
      <formula>$J$3</formula>
    </cfRule>
    <cfRule type="cellIs" dxfId="142" priority="4" operator="greaterThan">
      <formula>$J$3</formula>
    </cfRule>
  </conditionalFormatting>
  <conditionalFormatting sqref="G9">
    <cfRule type="cellIs" dxfId="141" priority="1" operator="lessThan">
      <formula>$J$3</formula>
    </cfRule>
    <cfRule type="cellIs" dxfId="140" priority="2" operator="greaterThan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>
  <dimension ref="B3:P11"/>
  <sheetViews>
    <sheetView workbookViewId="0">
      <selection activeCell="E41" sqref="E41"/>
    </sheetView>
  </sheetViews>
  <sheetFormatPr baseColWidth="10" defaultColWidth="9.140625" defaultRowHeight="15"/>
  <cols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7">
        <v>2.05256419087811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7">
        <f>(B10*J3)</f>
        <v>7.3448334874176036</v>
      </c>
      <c r="K4" s="4">
        <f>(J4/D10-1)</f>
        <v>-0.10646794556963468</v>
      </c>
    </row>
    <row r="5" spans="2:16">
      <c r="B5" s="1">
        <v>3.5699000000000001</v>
      </c>
      <c r="C5" s="37">
        <f>(D5/B5)</f>
        <v>2.3025855065968237</v>
      </c>
      <c r="D5" s="37">
        <v>8.2200000000000006</v>
      </c>
      <c r="E5" t="s">
        <v>80</v>
      </c>
      <c r="M5" t="s">
        <v>80</v>
      </c>
      <c r="N5" t="s">
        <v>29</v>
      </c>
      <c r="O5" t="s">
        <v>1</v>
      </c>
      <c r="P5" t="s">
        <v>2</v>
      </c>
    </row>
    <row r="6" spans="2:16">
      <c r="B6" s="2">
        <v>8.4696900000000002E-3</v>
      </c>
      <c r="C6" s="39">
        <v>0</v>
      </c>
      <c r="D6" s="26">
        <f>(B6*C6)</f>
        <v>0</v>
      </c>
      <c r="E6" s="37">
        <f>(B6*J3)</f>
        <v>1.7384582401838419E-2</v>
      </c>
      <c r="M6" t="s">
        <v>11</v>
      </c>
      <c r="N6" s="1">
        <f>($B$10/5)</f>
        <v>0.71567393800000001</v>
      </c>
      <c r="O6" s="37">
        <f>($C$5*Params!K8)</f>
        <v>2.9933611585758708</v>
      </c>
      <c r="P6" s="37">
        <f>(O6*N6)</f>
        <v>2.142270568214236</v>
      </c>
    </row>
    <row r="7" spans="2:16">
      <c r="N7" s="1">
        <f>($B$10/5)</f>
        <v>0.71567393800000001</v>
      </c>
      <c r="O7" s="37">
        <f>($C$5*Params!K9)</f>
        <v>3.6841368105549179</v>
      </c>
      <c r="P7" s="37">
        <f>(O7*N7)</f>
        <v>2.6366406993405982</v>
      </c>
    </row>
    <row r="8" spans="2:16">
      <c r="N8" s="1">
        <f>($B$10/5)</f>
        <v>0.71567393800000001</v>
      </c>
      <c r="O8" s="37">
        <f>($C$5*Params!K10)</f>
        <v>5.0656881145130122</v>
      </c>
      <c r="P8" s="37">
        <f>(O8*N8)</f>
        <v>3.6253809615933226</v>
      </c>
    </row>
    <row r="9" spans="2:16">
      <c r="F9" t="s">
        <v>9</v>
      </c>
      <c r="G9" s="37">
        <f>(D10/B10)</f>
        <v>2.297135486859101</v>
      </c>
      <c r="N9" s="1">
        <f>($B$10/5)</f>
        <v>0.71567393800000001</v>
      </c>
      <c r="O9" s="37">
        <f>($C$5*Params!K11)</f>
        <v>9.2103420263872948</v>
      </c>
      <c r="P9" s="37">
        <f>(O9*N9)</f>
        <v>6.5916017483514953</v>
      </c>
    </row>
    <row r="10" spans="2:16">
      <c r="B10" s="1">
        <f>(SUM(B5:B9))</f>
        <v>3.5783696900000002</v>
      </c>
      <c r="D10" s="37">
        <f>(SUM(D5:D9))</f>
        <v>8.2200000000000006</v>
      </c>
    </row>
    <row r="11" spans="2:16">
      <c r="P11" s="37">
        <f>(SUM(P6:P9))</f>
        <v>14.995893977499652</v>
      </c>
    </row>
  </sheetData>
  <conditionalFormatting sqref="C5">
    <cfRule type="cellIs" dxfId="139" priority="5" operator="lessThan">
      <formula>$J$3</formula>
    </cfRule>
    <cfRule type="cellIs" dxfId="138" priority="6" operator="greaterThan">
      <formula>$J$3</formula>
    </cfRule>
  </conditionalFormatting>
  <conditionalFormatting sqref="O6:O9">
    <cfRule type="cellIs" dxfId="137" priority="3" operator="lessThan">
      <formula>$J$3</formula>
    </cfRule>
    <cfRule type="cellIs" dxfId="136" priority="4" operator="greaterThan">
      <formula>$J$3</formula>
    </cfRule>
  </conditionalFormatting>
  <conditionalFormatting sqref="G9">
    <cfRule type="cellIs" dxfId="135" priority="1" operator="lessThan">
      <formula>$J$3</formula>
    </cfRule>
    <cfRule type="cellIs" dxfId="134" priority="2" operator="greaterThan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>
  <dimension ref="B3:U78"/>
  <sheetViews>
    <sheetView workbookViewId="0">
      <selection activeCell="B7" sqref="B7"/>
    </sheetView>
  </sheetViews>
  <sheetFormatPr baseColWidth="10" defaultColWidth="9.140625" defaultRowHeight="15"/>
  <cols>
    <col min="2" max="2" width="11.7109375" style="14" bestFit="1" customWidth="1"/>
    <col min="3" max="3" width="11.5703125" style="14" bestFit="1" customWidth="1"/>
    <col min="7" max="7" width="11.5703125" style="14" bestFit="1" customWidth="1"/>
    <col min="9" max="9" width="12.42578125" style="14" bestFit="1" customWidth="1"/>
    <col min="10" max="10" width="11.5703125" style="14" bestFit="1" customWidth="1"/>
    <col min="13" max="13" width="12" style="14" bestFit="1" customWidth="1"/>
    <col min="14" max="14" width="12.5703125" style="14" bestFit="1" customWidth="1"/>
    <col min="19" max="19" width="11.5703125" style="14" bestFit="1" customWidth="1"/>
  </cols>
  <sheetData>
    <row r="3" spans="2:20">
      <c r="I3" t="s">
        <v>3</v>
      </c>
      <c r="J3" s="37">
        <v>27196.74464610056</v>
      </c>
      <c r="M3" t="s">
        <v>0</v>
      </c>
      <c r="N3" t="s">
        <v>1</v>
      </c>
      <c r="O3" t="s">
        <v>2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7">
        <f>(B37*J3)</f>
        <v>767.01428710952598</v>
      </c>
      <c r="K4" s="4">
        <f>(J4/D37-1)</f>
        <v>0.15356389689320893</v>
      </c>
      <c r="L4" t="s">
        <v>4</v>
      </c>
      <c r="M4">
        <f>(INDEX((M9:M68),MATCH(N4/0.85,N9:N68,0))/0.9)</f>
        <v>2.047422222222222E-4</v>
      </c>
      <c r="N4" s="38">
        <f>(MAX(N9,N17:N19,N49,N25,N33,N41,N57,N65)*0.85)</f>
        <v>19471.8</v>
      </c>
      <c r="O4">
        <f>(N4*M4)</f>
        <v>3.9866996026666661</v>
      </c>
      <c r="R4" t="s">
        <v>5</v>
      </c>
      <c r="S4" t="s">
        <v>6</v>
      </c>
      <c r="T4" t="s">
        <v>7</v>
      </c>
    </row>
    <row r="5" spans="2:20">
      <c r="B5" s="24">
        <v>3.9998300000000002E-3</v>
      </c>
      <c r="C5" s="37">
        <v>41500</v>
      </c>
      <c r="D5" s="37">
        <f>(B5*C5)</f>
        <v>165.99294500000002</v>
      </c>
      <c r="R5" s="24">
        <f t="shared" ref="R5:R10" si="0">(B5)</f>
        <v>3.9998300000000002E-3</v>
      </c>
      <c r="S5" s="37">
        <v>41500</v>
      </c>
      <c r="T5" s="37">
        <f>(R5*S5)</f>
        <v>165.99294500000002</v>
      </c>
    </row>
    <row r="6" spans="2:20">
      <c r="B6" s="25">
        <v>3.1442999999999998E-4</v>
      </c>
      <c r="C6" s="39">
        <v>0</v>
      </c>
      <c r="D6" s="26">
        <f>(B6*C6)</f>
        <v>0</v>
      </c>
      <c r="E6" s="37">
        <f>(B6*J3)</f>
        <v>8.5514724190733986</v>
      </c>
      <c r="I6" t="s">
        <v>11</v>
      </c>
      <c r="J6">
        <v>0.03</v>
      </c>
      <c r="R6" s="24">
        <f t="shared" si="0"/>
        <v>3.1442999999999998E-4</v>
      </c>
      <c r="S6" s="37">
        <v>0</v>
      </c>
      <c r="T6" s="37">
        <f>(R6*S6)</f>
        <v>0</v>
      </c>
    </row>
    <row r="7" spans="2:20">
      <c r="B7" s="24">
        <v>5.1073000000000004E-4</v>
      </c>
      <c r="C7" s="37">
        <f>D7/B7</f>
        <v>30544.514714232566</v>
      </c>
      <c r="D7" s="37">
        <v>15.6</v>
      </c>
      <c r="I7" t="s">
        <v>13</v>
      </c>
      <c r="J7">
        <f>(J6-B37)</f>
        <v>1.7975699999999949E-3</v>
      </c>
      <c r="R7" s="24">
        <f t="shared" si="0"/>
        <v>5.1073000000000004E-4</v>
      </c>
      <c r="S7" s="37">
        <f>(T7/R7)</f>
        <v>30544.514714232566</v>
      </c>
      <c r="T7" s="37" t="s">
        <v>19</v>
      </c>
    </row>
    <row r="8" spans="2:20">
      <c r="B8" s="24">
        <v>4.9108299999999997E-3</v>
      </c>
      <c r="C8" s="37">
        <f>D8/B8</f>
        <v>21381.314360301621</v>
      </c>
      <c r="D8" s="37">
        <v>105</v>
      </c>
      <c r="I8" t="s">
        <v>14</v>
      </c>
      <c r="J8">
        <f>(J7*J3)</f>
        <v>48.888052273490842</v>
      </c>
      <c r="M8" t="s">
        <v>0</v>
      </c>
      <c r="N8" t="s">
        <v>1</v>
      </c>
      <c r="O8" t="s">
        <v>2</v>
      </c>
      <c r="R8" s="24">
        <f t="shared" si="0"/>
        <v>4.9108299999999997E-3</v>
      </c>
      <c r="S8" s="37">
        <f>(T8/R8)</f>
        <v>21381.314360301621</v>
      </c>
      <c r="T8" s="37" t="s">
        <v>20</v>
      </c>
    </row>
    <row r="9" spans="2:20">
      <c r="B9" s="24">
        <v>2E-3</v>
      </c>
      <c r="C9" s="37">
        <f>D9/B9</f>
        <v>21750</v>
      </c>
      <c r="D9" s="37">
        <v>43.5</v>
      </c>
      <c r="L9" t="s">
        <v>11</v>
      </c>
      <c r="M9">
        <f>($B$16/5)</f>
        <v>3.3600000000000004E-4</v>
      </c>
      <c r="N9" s="37">
        <f>(C26)</f>
        <v>20979.026577380951</v>
      </c>
      <c r="O9">
        <f>(N9*M9)</f>
        <v>7.0489529300000004</v>
      </c>
      <c r="P9" t="s">
        <v>12</v>
      </c>
      <c r="R9" s="24">
        <f t="shared" si="0"/>
        <v>2E-3</v>
      </c>
      <c r="S9" s="37">
        <f>(T9/R9)</f>
        <v>21750</v>
      </c>
      <c r="T9" s="37" t="s">
        <v>21</v>
      </c>
    </row>
    <row r="10" spans="2:20">
      <c r="B10" s="24">
        <v>6.9999999999999999E-4</v>
      </c>
      <c r="C10" s="37">
        <v>20458</v>
      </c>
      <c r="D10" s="37">
        <f t="shared" ref="D10:D16" si="1">(C10*B10)</f>
        <v>14.320600000000001</v>
      </c>
      <c r="M10">
        <f>($B$16/5)</f>
        <v>3.3600000000000004E-4</v>
      </c>
      <c r="N10" s="37">
        <f>($C$16*Params!K16)</f>
        <v>33240.04</v>
      </c>
      <c r="O10">
        <f>(N10*M10)</f>
        <v>11.168653440000002</v>
      </c>
      <c r="R10" s="24">
        <f t="shared" si="0"/>
        <v>6.9999999999999999E-4</v>
      </c>
      <c r="S10" s="37">
        <v>20458</v>
      </c>
      <c r="T10" s="37">
        <f>(S10*R10)</f>
        <v>14.320600000000001</v>
      </c>
    </row>
    <row r="11" spans="2:20">
      <c r="B11" s="24">
        <v>5.1000000000000004E-4</v>
      </c>
      <c r="C11" s="37">
        <v>19873.310000000001</v>
      </c>
      <c r="D11" s="37">
        <f t="shared" si="1"/>
        <v>10.135388100000002</v>
      </c>
      <c r="M11">
        <f>($B$16/5)</f>
        <v>3.3600000000000004E-4</v>
      </c>
      <c r="N11" s="37">
        <f>($C$16*Params!K17)</f>
        <v>66480.08</v>
      </c>
      <c r="O11">
        <f>(N11*M11)</f>
        <v>22.337306880000003</v>
      </c>
      <c r="R11" s="24">
        <f>(B12)</f>
        <v>6.4000000000000005E-4</v>
      </c>
      <c r="S11" s="37">
        <v>19169.310000000001</v>
      </c>
      <c r="T11" s="37">
        <f>(S11*R11)</f>
        <v>12.268358400000002</v>
      </c>
    </row>
    <row r="12" spans="2:20">
      <c r="B12" s="24">
        <v>6.4000000000000005E-4</v>
      </c>
      <c r="C12" s="37">
        <v>19169.310000000001</v>
      </c>
      <c r="D12" s="37">
        <f t="shared" si="1"/>
        <v>12.268358400000002</v>
      </c>
      <c r="M12">
        <f>($B$16/5)</f>
        <v>3.3600000000000004E-4</v>
      </c>
      <c r="N12" s="37">
        <f>($C$16*Params!K18)</f>
        <v>132960.16</v>
      </c>
      <c r="O12">
        <f>(N12*M12)</f>
        <v>44.674613760000007</v>
      </c>
      <c r="R12" s="24">
        <f>(B13+B11+B14)</f>
        <v>5.5000000000000003E-4</v>
      </c>
      <c r="S12" s="37">
        <f>(T12/R12)</f>
        <v>18256.087454545454</v>
      </c>
      <c r="T12" s="37">
        <f>(D13+D11+D14)</f>
        <v>10.0408481</v>
      </c>
    </row>
    <row r="13" spans="2:20">
      <c r="B13" s="24">
        <v>-5.0000000000000001E-4</v>
      </c>
      <c r="C13" s="37">
        <v>20709.080000000002</v>
      </c>
      <c r="D13" s="37">
        <f t="shared" si="1"/>
        <v>-10.354540000000002</v>
      </c>
      <c r="R13" s="24">
        <f>(B15)</f>
        <v>2.5799999999999998E-3</v>
      </c>
      <c r="S13" s="37">
        <v>18969</v>
      </c>
      <c r="T13" s="37">
        <f>(S13*R13)</f>
        <v>48.940019999999997</v>
      </c>
    </row>
    <row r="14" spans="2:20">
      <c r="B14" s="24">
        <v>5.4000000000000001E-4</v>
      </c>
      <c r="C14" s="37">
        <v>19000</v>
      </c>
      <c r="D14" s="37">
        <f t="shared" si="1"/>
        <v>10.26</v>
      </c>
      <c r="O14">
        <f>(SUM(O9:O12))</f>
        <v>85.229527010000012</v>
      </c>
      <c r="R14" s="24">
        <f>(B16+B26)</f>
        <v>1.3440000000000001E-3</v>
      </c>
      <c r="S14" s="37">
        <f t="shared" ref="S14:S21" si="2">(T14/R14)</f>
        <v>15530.268355654764</v>
      </c>
      <c r="T14" s="37">
        <f>(D16+D26)</f>
        <v>20.872680670000005</v>
      </c>
    </row>
    <row r="15" spans="2:20">
      <c r="B15" s="24">
        <v>2.5799999999999998E-3</v>
      </c>
      <c r="C15" s="37">
        <v>18969</v>
      </c>
      <c r="D15" s="37">
        <f t="shared" si="1"/>
        <v>48.940019999999997</v>
      </c>
      <c r="R15" s="24">
        <f>(B17+B18+B21+B33)</f>
        <v>3.7333999999999989E-4</v>
      </c>
      <c r="S15" s="37">
        <f t="shared" si="2"/>
        <v>93.555472223709913</v>
      </c>
      <c r="T15" s="37">
        <f>(D17+D18+D21+D33)</f>
        <v>3.4927999999999848E-2</v>
      </c>
    </row>
    <row r="16" spans="2:20">
      <c r="B16" s="24">
        <v>1.6800000000000001E-3</v>
      </c>
      <c r="C16" s="37">
        <v>16620.02</v>
      </c>
      <c r="D16" s="37">
        <f t="shared" si="1"/>
        <v>27.921633600000003</v>
      </c>
      <c r="M16" t="s">
        <v>0</v>
      </c>
      <c r="N16" t="s">
        <v>1</v>
      </c>
      <c r="O16" t="s">
        <v>2</v>
      </c>
      <c r="R16" s="24">
        <f>(B19+B27)</f>
        <v>4.7999999999999898E-4</v>
      </c>
      <c r="S16" s="37">
        <f t="shared" si="2"/>
        <v>15650.000000000033</v>
      </c>
      <c r="T16" s="37">
        <f>(D19+D27)</f>
        <v>7.5119999999999996</v>
      </c>
    </row>
    <row r="17" spans="2:21">
      <c r="B17" s="24">
        <v>9.2133999999999998E-4</v>
      </c>
      <c r="C17" s="37">
        <f t="shared" ref="C17:C26" si="3">(D17/B17)</f>
        <v>11244.491718583802</v>
      </c>
      <c r="D17" s="37">
        <v>10.36</v>
      </c>
      <c r="L17" t="s">
        <v>11</v>
      </c>
      <c r="M17">
        <f>($B$17/5)</f>
        <v>1.8426799999999999E-4</v>
      </c>
      <c r="N17" s="37">
        <f>(C18)</f>
        <v>16444.444444444442</v>
      </c>
      <c r="O17">
        <f>(N17*M17)</f>
        <v>3.030184888888888</v>
      </c>
      <c r="P17" t="s">
        <v>12</v>
      </c>
      <c r="R17" s="24">
        <f>(B20+B28)</f>
        <v>7.3329999999999999E-4</v>
      </c>
      <c r="S17" s="37">
        <f t="shared" si="2"/>
        <v>16031.774171553252</v>
      </c>
      <c r="T17" s="37">
        <f>(D20+D28)</f>
        <v>11.7561</v>
      </c>
    </row>
    <row r="18" spans="2:21">
      <c r="B18" s="24">
        <v>-1.8000000000000001E-4</v>
      </c>
      <c r="C18" s="37">
        <f t="shared" si="3"/>
        <v>16444.444444444442</v>
      </c>
      <c r="D18" s="37">
        <f>(-2.96)</f>
        <v>-2.96</v>
      </c>
      <c r="M18">
        <f>($B$17/5)</f>
        <v>1.8426799999999999E-4</v>
      </c>
      <c r="N18" s="37">
        <f>(C21)</f>
        <v>17119.565217391304</v>
      </c>
      <c r="O18">
        <f>(N18*M18)</f>
        <v>3.1545880434782605</v>
      </c>
      <c r="P18" t="s">
        <v>12</v>
      </c>
      <c r="R18" s="24">
        <f>(B22+B27)</f>
        <v>4.6000000000000001E-4</v>
      </c>
      <c r="S18" s="37">
        <f t="shared" si="2"/>
        <v>15907.391304347828</v>
      </c>
      <c r="T18" s="37">
        <f>(D22+D29)</f>
        <v>7.317400000000001</v>
      </c>
    </row>
    <row r="19" spans="2:21">
      <c r="B19" s="24">
        <v>5.9999999999999897E-4</v>
      </c>
      <c r="C19" s="37">
        <f t="shared" si="3"/>
        <v>16700.000000000029</v>
      </c>
      <c r="D19" s="37">
        <v>10.02</v>
      </c>
      <c r="F19" s="24"/>
      <c r="I19" s="38"/>
      <c r="M19">
        <f>($B$17/5)</f>
        <v>1.8426799999999999E-4</v>
      </c>
      <c r="N19" s="37">
        <f>(C33)</f>
        <v>22908</v>
      </c>
      <c r="O19">
        <f>(N19*M19)</f>
        <v>4.2212113439999994</v>
      </c>
      <c r="P19" t="s">
        <v>12</v>
      </c>
      <c r="R19" s="24">
        <f>(B23+B32)</f>
        <v>5.2779999999999997E-3</v>
      </c>
      <c r="S19" s="37">
        <f t="shared" si="2"/>
        <v>22521.030466085638</v>
      </c>
      <c r="T19" s="37">
        <f>(D23+17438.6*B32)</f>
        <v>118.8659988</v>
      </c>
      <c r="U19" t="s">
        <v>10</v>
      </c>
    </row>
    <row r="20" spans="2:21">
      <c r="B20" s="24">
        <v>9.1330000000000003E-4</v>
      </c>
      <c r="C20" s="37">
        <f t="shared" si="3"/>
        <v>17080.915361874519</v>
      </c>
      <c r="D20" s="37">
        <v>15.6</v>
      </c>
      <c r="M20">
        <f>($B$17/5)</f>
        <v>1.8426799999999999E-4</v>
      </c>
      <c r="N20" s="37">
        <f>($C$17*Params!K18)</f>
        <v>89955.933748670417</v>
      </c>
      <c r="O20">
        <f>(N20*M20)</f>
        <v>16.576000000000001</v>
      </c>
      <c r="R20" s="24">
        <f>(B24+B31)</f>
        <v>1.0979399999999999E-3</v>
      </c>
      <c r="S20" s="37">
        <f t="shared" si="2"/>
        <v>24048.635533817876</v>
      </c>
      <c r="T20" s="37">
        <f>(D24+17211.7*B31)</f>
        <v>26.403958897999999</v>
      </c>
      <c r="U20" t="s">
        <v>15</v>
      </c>
    </row>
    <row r="21" spans="2:21">
      <c r="B21" s="24">
        <v>-1.84E-4</v>
      </c>
      <c r="C21" s="37">
        <f t="shared" si="3"/>
        <v>17119.565217391304</v>
      </c>
      <c r="D21" s="37">
        <v>-3.15</v>
      </c>
      <c r="R21" s="24">
        <f>(B25+B30)</f>
        <v>2.376E-5</v>
      </c>
      <c r="S21" s="37">
        <f t="shared" si="2"/>
        <v>15653.771043771043</v>
      </c>
      <c r="T21" s="37">
        <f>(D25+D30)</f>
        <v>0.37193359999999998</v>
      </c>
    </row>
    <row r="22" spans="2:21">
      <c r="B22" s="24">
        <v>5.8E-4</v>
      </c>
      <c r="C22" s="37">
        <f t="shared" si="3"/>
        <v>17034.482758620692</v>
      </c>
      <c r="D22" s="37">
        <v>9.8800000000000008</v>
      </c>
      <c r="O22">
        <f>(SUM(O17:O20))</f>
        <v>26.98198427636715</v>
      </c>
      <c r="R22" s="24">
        <f>(B31-B31)</f>
        <v>0</v>
      </c>
      <c r="S22" s="37">
        <v>0</v>
      </c>
      <c r="T22" s="37">
        <f>(17211.7*-B31+D31)</f>
        <v>-0.22637249800000003</v>
      </c>
      <c r="U22" t="s">
        <v>16</v>
      </c>
    </row>
    <row r="23" spans="2:21">
      <c r="B23" s="24">
        <v>5.62E-3</v>
      </c>
      <c r="C23" s="37">
        <f t="shared" si="3"/>
        <v>22211.743772241993</v>
      </c>
      <c r="D23" s="37">
        <v>124.83</v>
      </c>
      <c r="E23" t="s">
        <v>10</v>
      </c>
      <c r="R23" s="24">
        <f>(B32-B32)</f>
        <v>0</v>
      </c>
      <c r="S23" s="37">
        <v>0</v>
      </c>
      <c r="T23" s="37">
        <f>(17438.6*-B32+D32)</f>
        <v>-1.4915987999999993</v>
      </c>
      <c r="U23" t="s">
        <v>17</v>
      </c>
    </row>
    <row r="24" spans="2:21">
      <c r="B24" s="24">
        <v>1.15E-3</v>
      </c>
      <c r="C24" s="37">
        <f t="shared" si="3"/>
        <v>23739.130434782608</v>
      </c>
      <c r="D24" s="37">
        <v>27.3</v>
      </c>
      <c r="E24" t="s">
        <v>15</v>
      </c>
      <c r="M24" t="s">
        <v>0</v>
      </c>
      <c r="N24" t="s">
        <v>1</v>
      </c>
      <c r="O24" t="s">
        <v>2</v>
      </c>
      <c r="R24" s="24">
        <f>(B34)</f>
        <v>1.477E-3</v>
      </c>
      <c r="S24" s="37">
        <f>(T24/R24)</f>
        <v>25626.269465132023</v>
      </c>
      <c r="T24" s="37">
        <f>(D34)</f>
        <v>37.85</v>
      </c>
      <c r="U24" t="s">
        <v>18</v>
      </c>
    </row>
    <row r="25" spans="2:21">
      <c r="B25" s="24">
        <v>2.97E-5</v>
      </c>
      <c r="C25" s="37">
        <f t="shared" si="3"/>
        <v>16835.016835016835</v>
      </c>
      <c r="D25" s="37">
        <v>0.5</v>
      </c>
      <c r="L25" t="s">
        <v>11</v>
      </c>
      <c r="M25">
        <f>($B$19/5)</f>
        <v>1.199999999999998E-4</v>
      </c>
      <c r="N25" s="37">
        <f>(C27)</f>
        <v>20900</v>
      </c>
      <c r="O25">
        <f>(N25*M25)</f>
        <v>2.507999999999996</v>
      </c>
      <c r="P25" t="s">
        <v>12</v>
      </c>
    </row>
    <row r="26" spans="2:21">
      <c r="B26" s="24">
        <v>-3.3599999999999998E-4</v>
      </c>
      <c r="C26" s="37">
        <f t="shared" si="3"/>
        <v>20979.026577380951</v>
      </c>
      <c r="D26" s="37">
        <f>(-7.04895293)</f>
        <v>-7.0489529299999996</v>
      </c>
      <c r="M26">
        <f>($B$19/5)</f>
        <v>1.199999999999998E-4</v>
      </c>
      <c r="N26" s="37">
        <f>($C$19*Params!K16)</f>
        <v>33400.000000000058</v>
      </c>
      <c r="O26">
        <f>(N26*M26)</f>
        <v>4.008</v>
      </c>
    </row>
    <row r="27" spans="2:21">
      <c r="B27" s="24">
        <v>-1.2E-4</v>
      </c>
      <c r="C27" s="37">
        <v>20900</v>
      </c>
      <c r="D27" s="37">
        <f>(C27*B27)</f>
        <v>-2.508</v>
      </c>
      <c r="M27">
        <f>($B$19/5)</f>
        <v>1.199999999999998E-4</v>
      </c>
      <c r="N27" s="37">
        <f>($C$19*Params!K17)</f>
        <v>66800.000000000116</v>
      </c>
      <c r="O27">
        <f>(N27*M27)</f>
        <v>8.016</v>
      </c>
    </row>
    <row r="28" spans="2:21">
      <c r="B28" s="24">
        <v>-1.8000000000000001E-4</v>
      </c>
      <c r="C28" s="37">
        <v>21355</v>
      </c>
      <c r="D28" s="37">
        <f>(B28*C28)</f>
        <v>-3.8439000000000001</v>
      </c>
      <c r="M28">
        <f>($B$19/5)</f>
        <v>1.199999999999998E-4</v>
      </c>
      <c r="N28" s="37">
        <f>($C$19*Params!K18)</f>
        <v>133600.00000000023</v>
      </c>
      <c r="O28">
        <f>(N28*M28)</f>
        <v>16.032</v>
      </c>
    </row>
    <row r="29" spans="2:21">
      <c r="B29" s="24">
        <v>-1.2E-4</v>
      </c>
      <c r="C29" s="37">
        <v>21355</v>
      </c>
      <c r="D29" s="37">
        <f>(C29*B29)</f>
        <v>-2.5626000000000002</v>
      </c>
    </row>
    <row r="30" spans="2:21">
      <c r="B30" s="24">
        <f>(-M65)</f>
        <v>-5.9399999999999999E-6</v>
      </c>
      <c r="C30" s="37">
        <v>21560</v>
      </c>
      <c r="D30" s="37">
        <f>(C30*B30)</f>
        <v>-0.1280664</v>
      </c>
      <c r="O30">
        <f>(SUM(O25:O28))</f>
        <v>30.563999999999997</v>
      </c>
    </row>
    <row r="31" spans="2:21">
      <c r="B31" s="24">
        <f>(-0.000058-B30)</f>
        <v>-5.206E-5</v>
      </c>
      <c r="C31" s="37">
        <v>21560</v>
      </c>
      <c r="D31" s="37">
        <f>(C31*B31)</f>
        <v>-1.1224136</v>
      </c>
    </row>
    <row r="32" spans="2:21">
      <c r="B32" s="24">
        <v>-3.4200000000000002E-4</v>
      </c>
      <c r="C32" s="37">
        <f>(D32/B32)</f>
        <v>21799.999999999996</v>
      </c>
      <c r="D32" s="37">
        <v>-7.4555999999999996</v>
      </c>
      <c r="M32" t="s">
        <v>0</v>
      </c>
      <c r="N32" t="s">
        <v>1</v>
      </c>
      <c r="O32" t="s">
        <v>2</v>
      </c>
    </row>
    <row r="33" spans="2:20">
      <c r="B33" s="24">
        <f>(-0.000184)</f>
        <v>-1.84E-4</v>
      </c>
      <c r="C33" s="37">
        <f>(D33/B33)</f>
        <v>22908</v>
      </c>
      <c r="D33" s="37">
        <f>(-4.215072)</f>
        <v>-4.2150720000000002</v>
      </c>
      <c r="L33" t="s">
        <v>11</v>
      </c>
      <c r="M33">
        <f>($B$20/5)</f>
        <v>1.8266000000000002E-4</v>
      </c>
      <c r="N33" s="37">
        <f>(C28)</f>
        <v>21355</v>
      </c>
      <c r="O33">
        <f>(N33*M33)</f>
        <v>3.9007043000000006</v>
      </c>
      <c r="P33" t="s">
        <v>12</v>
      </c>
    </row>
    <row r="34" spans="2:20">
      <c r="B34" s="24">
        <v>1.477E-3</v>
      </c>
      <c r="C34" s="37">
        <f>(D34/B34)</f>
        <v>25626.269465132023</v>
      </c>
      <c r="D34" s="37">
        <v>37.85</v>
      </c>
      <c r="E34" t="s">
        <v>18</v>
      </c>
      <c r="M34">
        <f>($B$20/5)</f>
        <v>1.8266000000000002E-4</v>
      </c>
      <c r="N34" s="37">
        <f>($C$20*Params!K16)</f>
        <v>34161.830723749037</v>
      </c>
      <c r="O34">
        <f>(N34*M34)</f>
        <v>6.2399999999999993</v>
      </c>
    </row>
    <row r="35" spans="2:20">
      <c r="B35" s="24">
        <f>0.00073-0.00000073</f>
        <v>7.2926999999999996E-4</v>
      </c>
      <c r="C35" s="37">
        <f>(D35/B35)</f>
        <v>27395.295295295298</v>
      </c>
      <c r="D35" s="37">
        <v>19.978567000000002</v>
      </c>
      <c r="M35">
        <f>($B$20/5)</f>
        <v>1.8266000000000002E-4</v>
      </c>
      <c r="N35" s="37">
        <f>($C$20*Params!K17)</f>
        <v>68323.661447498074</v>
      </c>
      <c r="O35">
        <f>(N35*M35)</f>
        <v>12.479999999999999</v>
      </c>
    </row>
    <row r="36" spans="2:20">
      <c r="F36" t="s">
        <v>9</v>
      </c>
      <c r="G36" s="38">
        <f>(D37/B37)</f>
        <v>23576.279319547997</v>
      </c>
      <c r="M36">
        <f>($B$20/5)</f>
        <v>1.8266000000000002E-4</v>
      </c>
      <c r="N36" s="37">
        <f>($C$20*Params!K18)</f>
        <v>136647.32289499615</v>
      </c>
      <c r="O36">
        <f>(N36*M36)</f>
        <v>24.959999999999997</v>
      </c>
      <c r="R36">
        <f>(SUM(R5:R25))</f>
        <v>2.7473159999999993E-2</v>
      </c>
      <c r="T36" s="37">
        <f>(SUM(T5:T25))</f>
        <v>480.82980017000006</v>
      </c>
    </row>
    <row r="37" spans="2:20">
      <c r="B37">
        <f>(SUM(B5:B36))</f>
        <v>2.8202430000000004E-2</v>
      </c>
      <c r="D37" s="37">
        <f>(SUM(D5:D36))</f>
        <v>664.90836717000013</v>
      </c>
    </row>
    <row r="38" spans="2:20">
      <c r="O38">
        <f>(SUM(O33:O36))</f>
        <v>47.580704299999994</v>
      </c>
    </row>
    <row r="40" spans="2:20">
      <c r="M40" t="s">
        <v>0</v>
      </c>
      <c r="N40" t="s">
        <v>1</v>
      </c>
      <c r="O40" t="s">
        <v>2</v>
      </c>
    </row>
    <row r="41" spans="2:20">
      <c r="L41" t="s">
        <v>11</v>
      </c>
      <c r="M41">
        <f>(-B29)</f>
        <v>1.2E-4</v>
      </c>
      <c r="N41" s="37">
        <f>(C29)</f>
        <v>21355</v>
      </c>
      <c r="O41">
        <f>(N41*M41)</f>
        <v>2.5626000000000002</v>
      </c>
      <c r="P41" t="s">
        <v>12</v>
      </c>
    </row>
    <row r="42" spans="2:20">
      <c r="M42">
        <f>($B$22/5)</f>
        <v>1.16E-4</v>
      </c>
      <c r="N42" s="37">
        <f>($C$22*Params!K16)</f>
        <v>34068.965517241384</v>
      </c>
      <c r="O42">
        <f>(N42*M42)</f>
        <v>3.9520000000000004</v>
      </c>
    </row>
    <row r="43" spans="2:20">
      <c r="M43">
        <f>($B$22/5)</f>
        <v>1.16E-4</v>
      </c>
      <c r="N43" s="37">
        <f>($C$22*Params!K17)</f>
        <v>68137.931034482768</v>
      </c>
      <c r="O43">
        <f>(N43*M43)</f>
        <v>7.9040000000000008</v>
      </c>
    </row>
    <row r="44" spans="2:20">
      <c r="M44">
        <f>($B$22/5)</f>
        <v>1.16E-4</v>
      </c>
      <c r="N44" s="37">
        <f>($C$22*Params!K18)</f>
        <v>136275.86206896554</v>
      </c>
      <c r="O44">
        <f>(N44*M44)</f>
        <v>15.808000000000002</v>
      </c>
    </row>
    <row r="46" spans="2:20">
      <c r="O46">
        <f>(SUM(O41:O44))</f>
        <v>30.226600000000005</v>
      </c>
    </row>
    <row r="48" spans="2:20">
      <c r="L48" t="s">
        <v>10</v>
      </c>
      <c r="M48" t="s">
        <v>0</v>
      </c>
      <c r="N48" t="s">
        <v>1</v>
      </c>
      <c r="O48" t="s">
        <v>2</v>
      </c>
    </row>
    <row r="49" spans="12:16">
      <c r="L49" t="s">
        <v>11</v>
      </c>
      <c r="M49">
        <f>(-B32)</f>
        <v>3.4200000000000002E-4</v>
      </c>
      <c r="N49" s="37">
        <f>(C32)</f>
        <v>21799.999999999996</v>
      </c>
      <c r="O49">
        <f>(N49*M49)</f>
        <v>7.4555999999999996</v>
      </c>
      <c r="P49" t="s">
        <v>12</v>
      </c>
    </row>
    <row r="50" spans="12:16">
      <c r="M50">
        <f>(2*($R$19+M49)/5-M49)</f>
        <v>1.9059999999999999E-3</v>
      </c>
      <c r="N50" s="37">
        <f>($S$19*Params!K16)</f>
        <v>45042.060932171276</v>
      </c>
      <c r="O50">
        <f>(N50*M50)</f>
        <v>85.850168136718452</v>
      </c>
    </row>
    <row r="51" spans="12:16">
      <c r="M51">
        <f>($B$23/5)</f>
        <v>1.124E-3</v>
      </c>
      <c r="N51" s="37">
        <f>($S$19*Params!K17)</f>
        <v>90084.121864342553</v>
      </c>
      <c r="O51">
        <f>(N51*M51)</f>
        <v>101.25455297552102</v>
      </c>
    </row>
    <row r="52" spans="12:16">
      <c r="M52">
        <f>($B$23/5)</f>
        <v>1.124E-3</v>
      </c>
      <c r="N52" s="37">
        <f>($S$19*Params!K18)</f>
        <v>180168.24372868511</v>
      </c>
      <c r="O52">
        <f>(N52*M52)</f>
        <v>202.50910595104205</v>
      </c>
    </row>
    <row r="54" spans="12:16">
      <c r="O54">
        <f>(SUM(O49:O52))</f>
        <v>397.06942706328152</v>
      </c>
    </row>
    <row r="56" spans="12:16">
      <c r="L56" t="s">
        <v>15</v>
      </c>
      <c r="M56" t="s">
        <v>0</v>
      </c>
      <c r="N56" t="s">
        <v>1</v>
      </c>
      <c r="O56" t="s">
        <v>2</v>
      </c>
    </row>
    <row r="57" spans="12:16">
      <c r="L57" t="s">
        <v>11</v>
      </c>
      <c r="M57">
        <f>(-B31)</f>
        <v>5.206E-5</v>
      </c>
      <c r="N57" s="37">
        <f>(C31)</f>
        <v>21560</v>
      </c>
      <c r="O57">
        <f>(N57*M57)</f>
        <v>1.1224136</v>
      </c>
      <c r="P57" t="s">
        <v>12</v>
      </c>
    </row>
    <row r="58" spans="12:16">
      <c r="M58">
        <f>(2*($R$20+M57)/5-M57)</f>
        <v>4.0794000000000003E-4</v>
      </c>
      <c r="N58" s="37">
        <f>($S$20*Params!K16)</f>
        <v>48097.271067635753</v>
      </c>
      <c r="O58">
        <f>(N58*M58)</f>
        <v>19.620800759331331</v>
      </c>
    </row>
    <row r="59" spans="12:16">
      <c r="M59">
        <f>($B$24/5)</f>
        <v>2.3000000000000001E-4</v>
      </c>
      <c r="N59" s="37">
        <f>($S$20*Params!K17)</f>
        <v>96194.542135271506</v>
      </c>
      <c r="O59">
        <f>(N59*M59)</f>
        <v>22.124744691112447</v>
      </c>
    </row>
    <row r="60" spans="12:16">
      <c r="M60">
        <f>($B$24/5)</f>
        <v>2.3000000000000001E-4</v>
      </c>
      <c r="N60" s="37">
        <f>($S$20*Params!K18)</f>
        <v>192389.08427054301</v>
      </c>
      <c r="O60">
        <f>(N60*M60)</f>
        <v>44.249489382224894</v>
      </c>
    </row>
    <row r="62" spans="12:16">
      <c r="O62">
        <f>(SUM(O57:O60))</f>
        <v>87.117448432668681</v>
      </c>
    </row>
    <row r="64" spans="12:16">
      <c r="M64" t="s">
        <v>0</v>
      </c>
      <c r="N64" t="s">
        <v>1</v>
      </c>
      <c r="O64" t="s">
        <v>2</v>
      </c>
    </row>
    <row r="65" spans="12:16">
      <c r="L65" t="s">
        <v>11</v>
      </c>
      <c r="M65">
        <f>($B$25/5)</f>
        <v>5.9399999999999999E-6</v>
      </c>
      <c r="N65" s="37">
        <f>(C30)</f>
        <v>21560</v>
      </c>
      <c r="O65">
        <f>(N65*M65)</f>
        <v>0.1280664</v>
      </c>
      <c r="P65" t="s">
        <v>12</v>
      </c>
    </row>
    <row r="66" spans="12:16">
      <c r="M66">
        <f>($B$25/5)</f>
        <v>5.9399999999999999E-6</v>
      </c>
      <c r="N66" s="37">
        <f>($C$25*Params!K16)</f>
        <v>33670.03367003367</v>
      </c>
      <c r="O66">
        <f>(N66*M66)</f>
        <v>0.19999999999999998</v>
      </c>
    </row>
    <row r="67" spans="12:16">
      <c r="M67">
        <f>($B$25/5)</f>
        <v>5.9399999999999999E-6</v>
      </c>
      <c r="N67" s="37">
        <f>($C$25*Params!K17)</f>
        <v>67340.06734006734</v>
      </c>
      <c r="O67">
        <f>(N67*M67)</f>
        <v>0.39999999999999997</v>
      </c>
    </row>
    <row r="68" spans="12:16">
      <c r="M68">
        <f>($B$25/5)</f>
        <v>5.9399999999999999E-6</v>
      </c>
      <c r="N68" s="37">
        <f>($C$25*Params!K18)</f>
        <v>134680.13468013468</v>
      </c>
      <c r="O68">
        <f>(N68*M68)</f>
        <v>0.79999999999999993</v>
      </c>
    </row>
    <row r="70" spans="12:16">
      <c r="O70">
        <f>(SUM(O65:O68))</f>
        <v>1.5280663999999997</v>
      </c>
    </row>
    <row r="72" spans="12:16">
      <c r="L72" t="s">
        <v>22</v>
      </c>
      <c r="M72" t="s">
        <v>0</v>
      </c>
      <c r="N72" t="s">
        <v>1</v>
      </c>
      <c r="O72" t="s">
        <v>2</v>
      </c>
    </row>
    <row r="73" spans="12:16">
      <c r="L73" t="s">
        <v>11</v>
      </c>
      <c r="M73">
        <f>($R$24/5)</f>
        <v>2.9540000000000002E-4</v>
      </c>
      <c r="N73" s="37">
        <f>($S$24*Params!K15)</f>
        <v>38439.404197698037</v>
      </c>
      <c r="O73">
        <f>(N73*M73)</f>
        <v>11.355</v>
      </c>
    </row>
    <row r="74" spans="12:16">
      <c r="M74">
        <f>($R$24/5)</f>
        <v>2.9540000000000002E-4</v>
      </c>
      <c r="N74" s="37">
        <f>($S$24*Params!K16)</f>
        <v>51252.538930264047</v>
      </c>
      <c r="O74">
        <f>(N74*M74)</f>
        <v>15.14</v>
      </c>
    </row>
    <row r="75" spans="12:16">
      <c r="M75">
        <f>($R$24/5)</f>
        <v>2.9540000000000002E-4</v>
      </c>
      <c r="N75" s="37">
        <f>($S$24*Params!K17)</f>
        <v>102505.07786052809</v>
      </c>
      <c r="O75">
        <f>(N75*M75)</f>
        <v>30.28</v>
      </c>
    </row>
    <row r="76" spans="12:16">
      <c r="M76">
        <f>($R$24/5)</f>
        <v>2.9540000000000002E-4</v>
      </c>
      <c r="N76" s="37">
        <f>($S$24*Params!K18)</f>
        <v>205010.15572105619</v>
      </c>
      <c r="O76">
        <f>(N76*M76)</f>
        <v>60.56</v>
      </c>
    </row>
    <row r="78" spans="12:16">
      <c r="O78">
        <f>(SUM(O73:O76))</f>
        <v>117.33500000000001</v>
      </c>
    </row>
  </sheetData>
  <conditionalFormatting sqref="C5 C7:C17 C19:C20 C22:C25 C34:C35 G36 N10:N12 N20 N26:N28 N34 S5 S7:S21 S24">
    <cfRule type="cellIs" dxfId="297" priority="45" operator="lessThan">
      <formula>$J$3</formula>
    </cfRule>
    <cfRule type="cellIs" dxfId="296" priority="46" operator="greaterThan">
      <formula>$J$3</formula>
    </cfRule>
  </conditionalFormatting>
  <conditionalFormatting sqref="N35:N36">
    <cfRule type="cellIs" dxfId="295" priority="19" operator="lessThan">
      <formula>$J$3</formula>
    </cfRule>
    <cfRule type="cellIs" dxfId="294" priority="20" operator="greaterThan">
      <formula>$J$3</formula>
    </cfRule>
  </conditionalFormatting>
  <conditionalFormatting sqref="N42:N44">
    <cfRule type="cellIs" dxfId="293" priority="17" operator="lessThan">
      <formula>$J$3</formula>
    </cfRule>
    <cfRule type="cellIs" dxfId="292" priority="18" operator="greaterThan">
      <formula>$J$3</formula>
    </cfRule>
  </conditionalFormatting>
  <conditionalFormatting sqref="N50:N52">
    <cfRule type="cellIs" dxfId="291" priority="15" operator="lessThan">
      <formula>$J$3</formula>
    </cfRule>
    <cfRule type="cellIs" dxfId="290" priority="16" operator="greaterThan">
      <formula>$J$3</formula>
    </cfRule>
  </conditionalFormatting>
  <conditionalFormatting sqref="N58:N60">
    <cfRule type="cellIs" dxfId="289" priority="13" operator="lessThan">
      <formula>$J$3</formula>
    </cfRule>
    <cfRule type="cellIs" dxfId="288" priority="14" operator="greaterThan">
      <formula>$J$3</formula>
    </cfRule>
  </conditionalFormatting>
  <conditionalFormatting sqref="N66:N68">
    <cfRule type="cellIs" dxfId="287" priority="11" operator="lessThan">
      <formula>$J$3</formula>
    </cfRule>
    <cfRule type="cellIs" dxfId="286" priority="12" operator="greaterThan">
      <formula>$J$3</formula>
    </cfRule>
  </conditionalFormatting>
  <conditionalFormatting sqref="N73:N76">
    <cfRule type="cellIs" dxfId="285" priority="9" operator="lessThan">
      <formula>$J$3</formula>
    </cfRule>
    <cfRule type="cellIs" dxfId="284" priority="10" operator="greaterThan">
      <formula>$J$3</formula>
    </cfRule>
  </conditionalFormatting>
  <conditionalFormatting sqref="N4">
    <cfRule type="cellIs" dxfId="283" priority="1" operator="greaterThan">
      <formula>$J$3</formula>
    </cfRule>
    <cfRule type="cellIs" dxfId="282" priority="2" operator="lessThan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>
  <dimension ref="B3:P11"/>
  <sheetViews>
    <sheetView workbookViewId="0">
      <selection activeCell="N6" sqref="N6:N9"/>
    </sheetView>
  </sheetViews>
  <sheetFormatPr baseColWidth="10" defaultColWidth="9.140625" defaultRowHeight="15"/>
  <cols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7">
        <v>6.5166289679837943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7">
        <f>(B10*J3)</f>
        <v>4.8977827273387273</v>
      </c>
      <c r="K4" s="4">
        <f>(J4/D10-1)</f>
        <v>-8.2812223344807645E-2</v>
      </c>
    </row>
    <row r="5" spans="2:16">
      <c r="B5">
        <v>0.75107999999999997</v>
      </c>
      <c r="C5" s="37">
        <f>(D5/B5)</f>
        <v>7.1097619428023648</v>
      </c>
      <c r="D5" s="37">
        <v>5.34</v>
      </c>
      <c r="E5" t="s">
        <v>80</v>
      </c>
      <c r="M5" t="s">
        <v>80</v>
      </c>
      <c r="N5" t="s">
        <v>29</v>
      </c>
      <c r="O5" t="s">
        <v>1</v>
      </c>
      <c r="P5" t="s">
        <v>2</v>
      </c>
    </row>
    <row r="6" spans="2:16">
      <c r="B6" s="2">
        <v>5.0226000000000003E-4</v>
      </c>
      <c r="C6" s="39">
        <v>0</v>
      </c>
      <c r="D6" s="26">
        <f>(B6*C6)</f>
        <v>0</v>
      </c>
      <c r="E6" s="37">
        <f>(B6*J3)</f>
        <v>3.2730420654595409E-3</v>
      </c>
      <c r="M6" t="s">
        <v>11</v>
      </c>
      <c r="N6" s="24">
        <f>($B$10/5)</f>
        <v>0.15031645199999999</v>
      </c>
      <c r="O6" s="37">
        <f>($C$5*Params!K8)</f>
        <v>9.2426905256430754</v>
      </c>
      <c r="P6" s="37">
        <f>(O6*N6)</f>
        <v>1.3893284467486819</v>
      </c>
    </row>
    <row r="7" spans="2:16">
      <c r="C7" s="37"/>
      <c r="D7" s="37"/>
      <c r="N7" s="24">
        <f>($B$10/5)</f>
        <v>0.15031645199999999</v>
      </c>
      <c r="O7" s="37">
        <f>($C$5*Params!K9)</f>
        <v>11.375619108483784</v>
      </c>
      <c r="P7" s="37">
        <f>(O7*N7)</f>
        <v>1.7099427036906854</v>
      </c>
    </row>
    <row r="8" spans="2:16">
      <c r="C8" s="37"/>
      <c r="D8" s="37"/>
      <c r="N8" s="24">
        <f>($B$10/5)</f>
        <v>0.15031645199999999</v>
      </c>
      <c r="O8" s="37">
        <f>($C$5*Params!K10)</f>
        <v>15.641476274165203</v>
      </c>
      <c r="P8" s="37">
        <f>(O8*N8)</f>
        <v>2.3511712175746924</v>
      </c>
    </row>
    <row r="9" spans="2:16">
      <c r="C9" s="37"/>
      <c r="D9" s="37"/>
      <c r="F9" t="s">
        <v>9</v>
      </c>
      <c r="G9" s="37">
        <f>(D10/B10)</f>
        <v>7.1050107010242636</v>
      </c>
      <c r="N9" s="24">
        <f>($B$10/5)</f>
        <v>0.15031645199999999</v>
      </c>
      <c r="O9" s="37">
        <f>($C$5*Params!K11)</f>
        <v>28.439047771209459</v>
      </c>
      <c r="P9" s="37">
        <f>(O9*N9)</f>
        <v>4.2748567592267133</v>
      </c>
    </row>
    <row r="10" spans="2:16">
      <c r="B10">
        <f>(SUM(B5:B9))</f>
        <v>0.75158225999999995</v>
      </c>
      <c r="C10" s="37"/>
      <c r="D10" s="37">
        <f>(SUM(D5:D9))</f>
        <v>5.34</v>
      </c>
      <c r="O10" s="37"/>
      <c r="P10" s="37"/>
    </row>
    <row r="11" spans="2:16">
      <c r="O11" s="37"/>
      <c r="P11" s="37">
        <f>(SUM(P6:P9))</f>
        <v>9.7252991272407741</v>
      </c>
    </row>
  </sheetData>
  <conditionalFormatting sqref="O6:O9">
    <cfRule type="cellIs" dxfId="133" priority="5" operator="lessThan">
      <formula>$J$3</formula>
    </cfRule>
    <cfRule type="cellIs" dxfId="132" priority="6" operator="greaterThan">
      <formula>$J$3</formula>
    </cfRule>
  </conditionalFormatting>
  <conditionalFormatting sqref="C5">
    <cfRule type="cellIs" dxfId="131" priority="3" operator="lessThan">
      <formula>$J$3</formula>
    </cfRule>
    <cfRule type="cellIs" dxfId="130" priority="4" operator="greaterThan">
      <formula>$J$3</formula>
    </cfRule>
  </conditionalFormatting>
  <conditionalFormatting sqref="G9">
    <cfRule type="cellIs" dxfId="129" priority="1" operator="lessThan">
      <formula>$J$3</formula>
    </cfRule>
    <cfRule type="cellIs" dxfId="128" priority="2" operator="greaterThan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>
  <dimension ref="B2:T19"/>
  <sheetViews>
    <sheetView workbookViewId="0">
      <selection activeCell="P41" sqref="P41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5" max="15" width="11.28515625" style="14" bestFit="1" customWidth="1"/>
  </cols>
  <sheetData>
    <row r="2" spans="2:20">
      <c r="N2" t="s">
        <v>0</v>
      </c>
      <c r="O2" t="s">
        <v>1</v>
      </c>
      <c r="P2" t="s">
        <v>2</v>
      </c>
    </row>
    <row r="3" spans="2:20">
      <c r="I3" t="s">
        <v>3</v>
      </c>
      <c r="J3" s="37">
        <v>91.300463782384782</v>
      </c>
      <c r="M3" t="s">
        <v>4</v>
      </c>
      <c r="N3">
        <f>(-R8/0.9)</f>
        <v>3.390077777777778E-2</v>
      </c>
      <c r="O3" s="38">
        <f>(MAX(O6,O14)*0.85)</f>
        <v>77.521967129564388</v>
      </c>
      <c r="P3" s="37">
        <f>(O3*N3)</f>
        <v>2.628054980555556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7">
        <f>(B13*J3)</f>
        <v>11.15332126194367</v>
      </c>
      <c r="K4" s="4">
        <f>(J4/D13-1)</f>
        <v>0.45137593898994566</v>
      </c>
      <c r="O4" s="37"/>
      <c r="P4" s="37"/>
      <c r="R4" t="s">
        <v>5</v>
      </c>
      <c r="S4" t="s">
        <v>6</v>
      </c>
      <c r="T4" t="s">
        <v>7</v>
      </c>
    </row>
    <row r="5" spans="2:20">
      <c r="B5">
        <v>7.6066700000000003E-3</v>
      </c>
      <c r="C5" s="37">
        <f>(D5/B5)</f>
        <v>65.731785393608504</v>
      </c>
      <c r="D5" s="37">
        <v>0.5</v>
      </c>
      <c r="N5" t="s">
        <v>29</v>
      </c>
      <c r="O5" t="s">
        <v>1</v>
      </c>
      <c r="P5" t="s">
        <v>2</v>
      </c>
      <c r="R5">
        <f>(B5)</f>
        <v>7.6066700000000003E-3</v>
      </c>
      <c r="S5" s="37">
        <f>(T5/R5)</f>
        <v>65.731785393608504</v>
      </c>
      <c r="T5" s="37">
        <f>(D5)</f>
        <v>0.5</v>
      </c>
    </row>
    <row r="6" spans="2:20">
      <c r="B6" s="2">
        <v>2.0965E-4</v>
      </c>
      <c r="C6" s="39">
        <v>0</v>
      </c>
      <c r="D6" s="26">
        <f>(B6*C6)</f>
        <v>0</v>
      </c>
      <c r="E6" s="37">
        <f>(B6*J3)</f>
        <v>1.9141142231976969E-2</v>
      </c>
      <c r="M6" t="s">
        <v>11</v>
      </c>
      <c r="N6">
        <f>(-B8)</f>
        <v>3.0510700000000002E-2</v>
      </c>
      <c r="O6" s="37">
        <f>(C8)</f>
        <v>91.202314270075746</v>
      </c>
      <c r="P6" s="37">
        <f>(-D8)</f>
        <v>2.7826464500000001</v>
      </c>
      <c r="Q6" t="s">
        <v>12</v>
      </c>
      <c r="R6" s="2">
        <f>(B6)</f>
        <v>2.0965E-4</v>
      </c>
      <c r="S6" s="39">
        <f>(T6/R6)</f>
        <v>0</v>
      </c>
      <c r="T6" s="26">
        <f>(D6)</f>
        <v>0</v>
      </c>
    </row>
    <row r="7" spans="2:20">
      <c r="B7">
        <v>0.14485500000000001</v>
      </c>
      <c r="C7" s="37">
        <f>(D7/B7)</f>
        <v>68.808808808808806</v>
      </c>
      <c r="D7" s="37">
        <v>9.9672999999999998</v>
      </c>
      <c r="N7">
        <f>(SUM($B$5:$B$7)/5)</f>
        <v>3.0534263999999998E-2</v>
      </c>
      <c r="O7" s="37">
        <f>($C$7*Params!K9)</f>
        <v>110.09409409409409</v>
      </c>
      <c r="P7" s="37">
        <f>(O7*N7)</f>
        <v>3.3616421339099096</v>
      </c>
      <c r="R7">
        <f>(B7)</f>
        <v>0.14485500000000001</v>
      </c>
      <c r="S7" s="37">
        <f>(T7/R7)</f>
        <v>68.808808808808806</v>
      </c>
      <c r="T7" s="37">
        <f>(D7)</f>
        <v>9.9672999999999998</v>
      </c>
    </row>
    <row r="8" spans="2:20">
      <c r="B8">
        <v>-3.0510700000000002E-2</v>
      </c>
      <c r="C8" s="37">
        <f>(D8/B8)</f>
        <v>91.202314270075746</v>
      </c>
      <c r="D8" s="37">
        <v>-2.7826464500000001</v>
      </c>
      <c r="N8">
        <f>(SUM($B$5:$B$7)/5)</f>
        <v>3.0534263999999998E-2</v>
      </c>
      <c r="O8" s="37">
        <f>($C$7*Params!K10)</f>
        <v>151.37937937937937</v>
      </c>
      <c r="P8" s="37">
        <f>(O8*N8)</f>
        <v>4.6222579341261261</v>
      </c>
      <c r="R8">
        <f>(B8)</f>
        <v>-3.0510700000000002E-2</v>
      </c>
      <c r="S8" s="37">
        <f>(T8/R8)</f>
        <v>91.202314270075746</v>
      </c>
      <c r="T8" s="37">
        <f>(D8)</f>
        <v>-2.7826464500000001</v>
      </c>
    </row>
    <row r="9" spans="2:20">
      <c r="N9">
        <f>(SUM($B$5:$B$7)/5)</f>
        <v>3.0534263999999998E-2</v>
      </c>
      <c r="O9" s="37">
        <f>($C$7*Params!K11)</f>
        <v>275.23523523523522</v>
      </c>
      <c r="P9" s="37">
        <f>(O9*N9)</f>
        <v>8.4041053347747745</v>
      </c>
    </row>
    <row r="10" spans="2:20">
      <c r="O10" s="37"/>
      <c r="P10" s="37"/>
    </row>
    <row r="11" spans="2:20">
      <c r="O11" s="37"/>
      <c r="P11" s="37">
        <f>(SUM(P6:P9))</f>
        <v>19.170651852810813</v>
      </c>
    </row>
    <row r="12" spans="2:20">
      <c r="F12" t="s">
        <v>9</v>
      </c>
      <c r="G12" s="37">
        <f>(D13/B13)</f>
        <v>62.906143976675956</v>
      </c>
    </row>
    <row r="13" spans="2:20">
      <c r="B13">
        <f>(SUM(B5:B12))</f>
        <v>0.12216062</v>
      </c>
      <c r="D13" s="37">
        <f>(SUM(D5:D12))</f>
        <v>7.6846535500000002</v>
      </c>
    </row>
    <row r="19" spans="18:20">
      <c r="R19">
        <f>(SUM(R5:R18))</f>
        <v>0.12216062</v>
      </c>
      <c r="T19" s="37">
        <f>(SUM(T5:T18))</f>
        <v>7.6846535500000002</v>
      </c>
    </row>
  </sheetData>
  <conditionalFormatting sqref="C5 C7 O7:O9 S5 S7">
    <cfRule type="cellIs" dxfId="127" priority="9" operator="lessThan">
      <formula>$J$3</formula>
    </cfRule>
    <cfRule type="cellIs" dxfId="126" priority="10" operator="greaterThan">
      <formula>$J$3</formula>
    </cfRule>
  </conditionalFormatting>
  <conditionalFormatting sqref="O3">
    <cfRule type="cellIs" dxfId="125" priority="1" operator="greaterThan">
      <formula>$J$3</formula>
    </cfRule>
    <cfRule type="cellIs" dxfId="124" priority="2" operator="lessThan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>
  <dimension ref="B3:J14"/>
  <sheetViews>
    <sheetView workbookViewId="0">
      <selection activeCell="B6" sqref="B6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</cols>
  <sheetData>
    <row r="3" spans="2:10">
      <c r="I3" t="s">
        <v>3</v>
      </c>
      <c r="J3" s="37">
        <v>0.9079808201130346</v>
      </c>
    </row>
    <row r="4" spans="2:10">
      <c r="B4" t="s">
        <v>5</v>
      </c>
      <c r="C4" t="s">
        <v>6</v>
      </c>
      <c r="D4" t="s">
        <v>7</v>
      </c>
      <c r="I4" t="s">
        <v>8</v>
      </c>
      <c r="J4" s="37">
        <f>(B14*J3)</f>
        <v>1.4690529221712558</v>
      </c>
    </row>
    <row r="5" spans="2:10">
      <c r="B5">
        <v>3.2527046099999999</v>
      </c>
      <c r="C5" s="37">
        <v>0</v>
      </c>
      <c r="D5" s="37">
        <f>(B5*C5)</f>
        <v>0</v>
      </c>
    </row>
    <row r="6" spans="2:10">
      <c r="B6" s="2">
        <v>4.0276470000000002E-2</v>
      </c>
      <c r="C6" s="39">
        <v>0</v>
      </c>
      <c r="D6" s="26">
        <f>(B6*C6)</f>
        <v>0</v>
      </c>
      <c r="E6" s="37">
        <f>(B6*J3)</f>
        <v>3.6570262261858034E-2</v>
      </c>
    </row>
    <row r="7" spans="2:10">
      <c r="B7">
        <v>-3.25700016</v>
      </c>
      <c r="C7" s="37">
        <f>(D7/B7)</f>
        <v>1.6571788900372666</v>
      </c>
      <c r="D7" s="37">
        <v>-5.3974319099999999</v>
      </c>
    </row>
    <row r="8" spans="2:10">
      <c r="B8">
        <v>0.31639059000000003</v>
      </c>
      <c r="C8" s="37">
        <v>0</v>
      </c>
      <c r="D8" s="37">
        <f>(B8*C8)</f>
        <v>0</v>
      </c>
    </row>
    <row r="9" spans="2:10">
      <c r="B9">
        <v>0.31639059000000003</v>
      </c>
      <c r="C9" s="37">
        <v>0</v>
      </c>
      <c r="D9" s="37">
        <f>(B9*C9)</f>
        <v>0</v>
      </c>
    </row>
    <row r="10" spans="2:10">
      <c r="B10">
        <v>0.31639059000000003</v>
      </c>
      <c r="C10" s="37">
        <v>0</v>
      </c>
      <c r="D10" s="37">
        <f>(B10*C10)</f>
        <v>0</v>
      </c>
    </row>
    <row r="11" spans="2:10">
      <c r="B11">
        <v>0.31639059000000003</v>
      </c>
      <c r="C11" s="37">
        <v>0</v>
      </c>
      <c r="D11" s="37">
        <f>(B11*C11)</f>
        <v>0</v>
      </c>
    </row>
    <row r="12" spans="2:10">
      <c r="B12">
        <v>0.31639059000000003</v>
      </c>
      <c r="C12" s="37">
        <v>0</v>
      </c>
      <c r="D12" s="37">
        <f>(B12*C12)</f>
        <v>0</v>
      </c>
    </row>
    <row r="14" spans="2:10">
      <c r="B14">
        <f>(SUM(B5:B13))</f>
        <v>1.6179338699999999</v>
      </c>
      <c r="D14" s="37">
        <f>(SUM(D5:D13))</f>
        <v>-5.3974319099999999</v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 xmlns:r="http://schemas.openxmlformats.org/officeDocument/2006/relationships">
  <dimension ref="B3:T37"/>
  <sheetViews>
    <sheetView workbookViewId="0">
      <selection activeCell="N9" sqref="N9"/>
    </sheetView>
  </sheetViews>
  <sheetFormatPr baseColWidth="10" defaultColWidth="9.140625" defaultRowHeight="15"/>
  <cols>
    <col min="2" max="2" width="12.7109375" style="14" bestFit="1" customWidth="1"/>
    <col min="3" max="3" width="13" style="14" bestFit="1" customWidth="1"/>
    <col min="7" max="7" width="11.7109375" style="14" bestFit="1" customWidth="1"/>
    <col min="9" max="9" width="12.42578125" style="14" bestFit="1" customWidth="1"/>
    <col min="10" max="10" width="11" style="14" bestFit="1" customWidth="1"/>
    <col min="14" max="14" width="11.28515625" style="14" bestFit="1" customWidth="1"/>
    <col min="15" max="15" width="11.5703125" style="14" bestFit="1" customWidth="1"/>
    <col min="18" max="18" width="12" style="14" bestFit="1" customWidth="1"/>
    <col min="19" max="19" width="13" style="14" bestFit="1" customWidth="1"/>
  </cols>
  <sheetData>
    <row r="3" spans="2:20">
      <c r="I3" t="s">
        <v>3</v>
      </c>
      <c r="J3" s="28">
        <v>8.9236260944262858E-5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7">
        <f>(B37*J3)</f>
        <v>30.311944410647861</v>
      </c>
      <c r="R4" t="s">
        <v>5</v>
      </c>
      <c r="S4" t="s">
        <v>6</v>
      </c>
      <c r="T4" t="s">
        <v>7</v>
      </c>
    </row>
    <row r="5" spans="2:20">
      <c r="B5" s="29">
        <v>0.2363634506</v>
      </c>
      <c r="C5" s="28">
        <v>115.55</v>
      </c>
      <c r="D5" s="37">
        <f>(B5*C5)</f>
        <v>27.311796716829999</v>
      </c>
      <c r="N5" t="s">
        <v>1</v>
      </c>
      <c r="O5" t="s">
        <v>29</v>
      </c>
      <c r="P5" t="s">
        <v>2</v>
      </c>
      <c r="R5" s="29">
        <f t="shared" ref="R5:R12" si="0">(B5)</f>
        <v>0.2363634506</v>
      </c>
      <c r="S5" s="28">
        <v>115.55</v>
      </c>
      <c r="T5" s="37">
        <f>(R5*S5)</f>
        <v>27.311796716829999</v>
      </c>
    </row>
    <row r="6" spans="2:20">
      <c r="B6" s="29">
        <v>0.3</v>
      </c>
      <c r="C6" s="28">
        <v>91.3</v>
      </c>
      <c r="D6" s="37">
        <f>(B6*C6)</f>
        <v>27.389999999999997</v>
      </c>
      <c r="M6" t="s">
        <v>4</v>
      </c>
      <c r="N6" s="46">
        <f>(MIN(C5:C8,C14:C16)*2)</f>
        <v>5.0000000000000001E-4</v>
      </c>
      <c r="O6">
        <f>(INDEX(B5:B17,MATCH(N6/2,C5:C17,0)))</f>
        <v>40000</v>
      </c>
      <c r="P6" s="37">
        <f>(O6*N6/2)</f>
        <v>10</v>
      </c>
      <c r="R6" s="29">
        <f t="shared" si="0"/>
        <v>0.3</v>
      </c>
      <c r="S6" s="28">
        <v>91.3</v>
      </c>
      <c r="T6" s="37">
        <f>(R6*S6)</f>
        <v>27.389999999999997</v>
      </c>
    </row>
    <row r="7" spans="2:20">
      <c r="B7" s="29">
        <v>2.7904138700000001</v>
      </c>
      <c r="C7" s="28">
        <v>6.5</v>
      </c>
      <c r="D7" s="37">
        <f>(B7*C7)</f>
        <v>18.137690155000001</v>
      </c>
      <c r="R7" s="29">
        <f t="shared" si="0"/>
        <v>2.7904138700000001</v>
      </c>
      <c r="S7" s="28">
        <v>6.5</v>
      </c>
      <c r="T7" s="37">
        <f>(R7*S7)</f>
        <v>18.137690155000001</v>
      </c>
    </row>
    <row r="8" spans="2:20">
      <c r="B8" s="29">
        <v>722</v>
      </c>
      <c r="C8" s="28">
        <f t="shared" ref="C8:C16" si="1">(D8/B8)</f>
        <v>2.077562326869806E-2</v>
      </c>
      <c r="D8" s="37">
        <v>15</v>
      </c>
      <c r="N8" t="s">
        <v>1</v>
      </c>
      <c r="O8" t="s">
        <v>29</v>
      </c>
      <c r="P8" t="s">
        <v>2</v>
      </c>
      <c r="R8" s="29">
        <f t="shared" si="0"/>
        <v>722</v>
      </c>
      <c r="S8" s="28">
        <f t="shared" ref="S8:S13" si="2">(T8/R8)</f>
        <v>2.077562326869806E-2</v>
      </c>
      <c r="T8" s="37">
        <v>15</v>
      </c>
    </row>
    <row r="9" spans="2:20">
      <c r="B9" s="29">
        <f>(891400)</f>
        <v>891400</v>
      </c>
      <c r="C9" s="28">
        <f t="shared" si="1"/>
        <v>1.1218308279111509E-5</v>
      </c>
      <c r="D9" s="37">
        <v>10</v>
      </c>
      <c r="M9" t="s">
        <v>4</v>
      </c>
      <c r="N9" s="46">
        <f>(C35*1.1)</f>
        <v>1.7892756482769213E-4</v>
      </c>
      <c r="O9" s="21">
        <f>(B35/1.1)</f>
        <v>56447.423345454539</v>
      </c>
      <c r="P9" s="37">
        <f>(O9*N9)</f>
        <v>10.1</v>
      </c>
      <c r="R9" s="29">
        <f t="shared" si="0"/>
        <v>891400</v>
      </c>
      <c r="S9" s="28">
        <f t="shared" si="2"/>
        <v>1.1218308279111509E-5</v>
      </c>
      <c r="T9" s="37">
        <v>10</v>
      </c>
    </row>
    <row r="10" spans="2:20">
      <c r="B10" s="29">
        <v>-200000</v>
      </c>
      <c r="C10" s="28">
        <f t="shared" si="1"/>
        <v>6.0000000000000002E-5</v>
      </c>
      <c r="D10" s="37">
        <v>-12</v>
      </c>
      <c r="N10" s="28"/>
      <c r="R10" s="29">
        <f t="shared" si="0"/>
        <v>-200000</v>
      </c>
      <c r="S10" s="28">
        <f t="shared" si="2"/>
        <v>6.0000000000000002E-5</v>
      </c>
      <c r="T10" s="37">
        <v>-12</v>
      </c>
    </row>
    <row r="11" spans="2:20">
      <c r="B11" s="29">
        <v>-43873</v>
      </c>
      <c r="C11" s="28">
        <f t="shared" si="1"/>
        <v>2.2793061791990518E-4</v>
      </c>
      <c r="D11" s="37">
        <v>-10</v>
      </c>
      <c r="R11" s="29">
        <f t="shared" si="0"/>
        <v>-43873</v>
      </c>
      <c r="S11" s="28">
        <f t="shared" si="2"/>
        <v>2.2793061791990518E-4</v>
      </c>
      <c r="T11" s="37">
        <v>-10</v>
      </c>
    </row>
    <row r="12" spans="2:20">
      <c r="B12" s="29">
        <v>-20000</v>
      </c>
      <c r="C12" s="28">
        <f t="shared" si="1"/>
        <v>5.0000000000000001E-4</v>
      </c>
      <c r="D12" s="37">
        <v>-10</v>
      </c>
      <c r="R12" s="29">
        <f t="shared" si="0"/>
        <v>-20000</v>
      </c>
      <c r="S12" s="28">
        <f t="shared" si="2"/>
        <v>5.0000000000000001E-4</v>
      </c>
      <c r="T12" s="37">
        <v>-10</v>
      </c>
    </row>
    <row r="13" spans="2:20">
      <c r="B13" s="29">
        <v>-66800</v>
      </c>
      <c r="C13" s="28">
        <f t="shared" si="1"/>
        <v>5.0000000000000001E-4</v>
      </c>
      <c r="D13" s="37">
        <v>-33.4</v>
      </c>
      <c r="R13" s="29">
        <f>(B13+B14+B15+B16)</f>
        <v>43423</v>
      </c>
      <c r="S13" s="28">
        <f t="shared" si="2"/>
        <v>1.0594270317573637E-4</v>
      </c>
      <c r="T13" s="37">
        <f>(D13+D15+D14+D16)</f>
        <v>4.6003500000000006</v>
      </c>
    </row>
    <row r="14" spans="2:20">
      <c r="B14" s="29">
        <v>22223</v>
      </c>
      <c r="C14" s="28">
        <f t="shared" si="1"/>
        <v>4.4999999999999999E-4</v>
      </c>
      <c r="D14" s="37">
        <v>10.000349999999999</v>
      </c>
      <c r="R14" s="29">
        <f t="shared" ref="R14:R20" si="3">(B17)</f>
        <v>-150000</v>
      </c>
      <c r="S14" s="28">
        <v>1E-4</v>
      </c>
      <c r="T14" s="37">
        <f>(S14*R14)</f>
        <v>-15</v>
      </c>
    </row>
    <row r="15" spans="2:20">
      <c r="B15" s="29">
        <v>48000</v>
      </c>
      <c r="C15" s="28">
        <f t="shared" si="1"/>
        <v>3.7500000000000001E-4</v>
      </c>
      <c r="D15" s="37">
        <v>18</v>
      </c>
      <c r="R15" s="29">
        <f t="shared" si="3"/>
        <v>4527.1768119899998</v>
      </c>
      <c r="S15" s="28">
        <v>0</v>
      </c>
      <c r="T15" s="37">
        <f>(R15*S15)</f>
        <v>0</v>
      </c>
    </row>
    <row r="16" spans="2:20">
      <c r="B16" s="29">
        <v>40000</v>
      </c>
      <c r="C16" s="28">
        <f t="shared" si="1"/>
        <v>2.5000000000000001E-4</v>
      </c>
      <c r="D16" s="37">
        <v>10</v>
      </c>
      <c r="R16" s="29">
        <f t="shared" si="3"/>
        <v>-60293.19</v>
      </c>
      <c r="S16" s="28">
        <v>1.829E-4</v>
      </c>
      <c r="T16" s="37">
        <f>(S16*R16)</f>
        <v>-11.027624451000001</v>
      </c>
    </row>
    <row r="17" spans="2:20">
      <c r="B17" s="29">
        <v>-150000</v>
      </c>
      <c r="C17" s="28">
        <v>1E-4</v>
      </c>
      <c r="D17" s="37">
        <f>(C17*B17)</f>
        <v>-15</v>
      </c>
      <c r="R17" s="29">
        <f t="shared" si="3"/>
        <v>-41141.35</v>
      </c>
      <c r="S17" s="28">
        <v>1.828E-4</v>
      </c>
      <c r="T17" s="37">
        <f>(S17*R17)</f>
        <v>-7.5206387799999996</v>
      </c>
    </row>
    <row r="18" spans="2:20">
      <c r="B18" s="36">
        <v>4527.1768119899998</v>
      </c>
      <c r="C18" s="39">
        <v>0</v>
      </c>
      <c r="D18" s="26">
        <f>(B18*C18)</f>
        <v>0</v>
      </c>
      <c r="E18" s="37">
        <f>(B18*J3)</f>
        <v>0.40398833133555567</v>
      </c>
      <c r="R18" s="29">
        <f t="shared" si="3"/>
        <v>-26969.34</v>
      </c>
      <c r="S18" s="28">
        <f>(T18/R18)</f>
        <v>4.0323567428791359E-4</v>
      </c>
      <c r="T18" s="37">
        <v>-10.875</v>
      </c>
    </row>
    <row r="19" spans="2:20">
      <c r="B19" s="29">
        <v>-60293.19</v>
      </c>
      <c r="C19" s="28">
        <v>1.829E-4</v>
      </c>
      <c r="D19" s="37">
        <f>(C19*B19)</f>
        <v>-11.027624451000001</v>
      </c>
      <c r="R19" s="29">
        <f t="shared" si="3"/>
        <v>-39131.89</v>
      </c>
      <c r="S19" s="28">
        <f>(T19/R19)</f>
        <v>4.0317500636948532E-4</v>
      </c>
      <c r="T19" s="37">
        <v>-15.776999999999999</v>
      </c>
    </row>
    <row r="20" spans="2:20">
      <c r="B20" s="29">
        <v>-41141.35</v>
      </c>
      <c r="C20" s="28">
        <v>1.828E-4</v>
      </c>
      <c r="D20" s="37">
        <f>(C20*B20)</f>
        <v>-7.5206387799999996</v>
      </c>
      <c r="R20" s="29">
        <f t="shared" si="3"/>
        <v>-31019.52</v>
      </c>
      <c r="S20" s="28">
        <f>(T20/R20)</f>
        <v>4.0941961706693071E-4</v>
      </c>
      <c r="T20" s="37">
        <v>-12.7</v>
      </c>
    </row>
    <row r="21" spans="2:20">
      <c r="B21" s="29">
        <v>-26969.34</v>
      </c>
      <c r="C21" s="28">
        <f>(D21/B21)</f>
        <v>4.0323567428791359E-4</v>
      </c>
      <c r="D21" s="37">
        <v>-10.875</v>
      </c>
      <c r="R21" s="29">
        <f>(B24+B25+B26)</f>
        <v>-55.650000000002365</v>
      </c>
      <c r="S21" s="28">
        <f>(T21/R21)</f>
        <v>1.4062807235038053E-2</v>
      </c>
      <c r="T21" s="37">
        <f>(D24+D25+D26)</f>
        <v>-0.78259522262990089</v>
      </c>
    </row>
    <row r="22" spans="2:20">
      <c r="B22" s="29">
        <v>-39131.89</v>
      </c>
      <c r="C22" s="28">
        <f>(D22/B22)</f>
        <v>4.0317500636948532E-4</v>
      </c>
      <c r="D22" s="37">
        <v>-15.776999999999999</v>
      </c>
      <c r="R22" s="29">
        <f>(B27+B28)</f>
        <v>0</v>
      </c>
      <c r="S22" s="28">
        <v>0</v>
      </c>
      <c r="T22" s="37">
        <f>(D27+D28)</f>
        <v>-2.4399999999999995</v>
      </c>
    </row>
    <row r="23" spans="2:20">
      <c r="B23" s="29">
        <v>-31019.52</v>
      </c>
      <c r="C23" s="28">
        <f>(D23/B23)</f>
        <v>4.0941961706693071E-4</v>
      </c>
      <c r="D23" s="37">
        <v>-12.7</v>
      </c>
      <c r="R23" s="29">
        <f>(B29+B30)</f>
        <v>4000</v>
      </c>
      <c r="S23" s="28">
        <v>0</v>
      </c>
      <c r="T23" s="37">
        <f>(D29+D30)</f>
        <v>-1.9700000000000006</v>
      </c>
    </row>
    <row r="24" spans="2:20">
      <c r="B24" s="29">
        <v>-20035.650000000001</v>
      </c>
      <c r="C24" s="28">
        <f>(D24/B24)</f>
        <v>5.5501069343894503E-4</v>
      </c>
      <c r="D24" s="37">
        <v>-11.12</v>
      </c>
      <c r="R24" s="29">
        <f>(B31+B32)</f>
        <v>-1.8097233900334686</v>
      </c>
      <c r="S24" s="28">
        <v>0</v>
      </c>
      <c r="T24" s="37">
        <f>(D31+D32)</f>
        <v>-13.982335980000002</v>
      </c>
    </row>
    <row r="25" spans="2:20">
      <c r="B25" s="29">
        <f>(15252.99-15.25299)</f>
        <v>15237.737009999999</v>
      </c>
      <c r="C25" s="28">
        <v>5.1738999999999995E-4</v>
      </c>
      <c r="D25" s="37">
        <f>(B25*C25)</f>
        <v>7.8838527516038983</v>
      </c>
      <c r="R25" s="29">
        <f>(B33+B34+B35)</f>
        <v>8092.1656799999982</v>
      </c>
      <c r="S25" s="28">
        <v>0</v>
      </c>
      <c r="T25" s="37">
        <f>(D33+D34+D35)</f>
        <v>-0.14500000000000135</v>
      </c>
    </row>
    <row r="26" spans="2:20">
      <c r="B26" s="29">
        <f>(4747.01-4.74701)</f>
        <v>4742.2629900000002</v>
      </c>
      <c r="C26" s="28">
        <v>5.1738000000000001E-4</v>
      </c>
      <c r="D26" s="37">
        <f>(B26*C26)</f>
        <v>2.4535520257662</v>
      </c>
    </row>
    <row r="27" spans="2:20">
      <c r="B27" s="29">
        <v>-40000</v>
      </c>
      <c r="C27" s="28">
        <f t="shared" ref="C27:C35" si="4">(D27/B27)</f>
        <v>3.1099999999999997E-4</v>
      </c>
      <c r="D27" s="37">
        <v>-12.44</v>
      </c>
    </row>
    <row r="28" spans="2:20">
      <c r="B28" s="29">
        <v>40000</v>
      </c>
      <c r="C28" s="28">
        <f t="shared" si="4"/>
        <v>2.5000000000000001E-4</v>
      </c>
      <c r="D28" s="37">
        <v>10</v>
      </c>
    </row>
    <row r="29" spans="2:20">
      <c r="B29" s="29">
        <v>-40000</v>
      </c>
      <c r="C29" s="28">
        <f t="shared" si="4"/>
        <v>3.0975000000000002E-4</v>
      </c>
      <c r="D29" s="37">
        <v>-12.39</v>
      </c>
    </row>
    <row r="30" spans="2:20">
      <c r="B30" s="29">
        <v>44000</v>
      </c>
      <c r="C30" s="28">
        <f t="shared" si="4"/>
        <v>2.3681818181818182E-4</v>
      </c>
      <c r="D30" s="37">
        <v>10.42</v>
      </c>
    </row>
    <row r="31" spans="2:20">
      <c r="B31" s="29">
        <v>-270017.67672339</v>
      </c>
      <c r="C31" s="28">
        <f t="shared" si="4"/>
        <v>1.7847844839198777E-4</v>
      </c>
      <c r="D31" s="37">
        <v>-48.192335980000003</v>
      </c>
    </row>
    <row r="32" spans="2:20">
      <c r="B32" s="29">
        <f>(272743.3*0.99)</f>
        <v>270015.86699999997</v>
      </c>
      <c r="C32" s="28">
        <f t="shared" si="4"/>
        <v>1.2669625818693094E-4</v>
      </c>
      <c r="D32" s="37">
        <v>34.21</v>
      </c>
    </row>
    <row r="33" spans="2:20">
      <c r="B33" s="29">
        <v>-33998.230000000003</v>
      </c>
      <c r="C33" s="28">
        <f t="shared" si="4"/>
        <v>1.8971575873214574E-4</v>
      </c>
      <c r="D33" s="37">
        <v>-6.45</v>
      </c>
    </row>
    <row r="34" spans="2:20">
      <c r="B34" s="29">
        <v>-20001.77</v>
      </c>
      <c r="C34" s="28">
        <f t="shared" si="4"/>
        <v>1.897332086110379E-4</v>
      </c>
      <c r="D34" s="37">
        <v>-3.7949999999999999</v>
      </c>
    </row>
    <row r="35" spans="2:20">
      <c r="B35" s="29">
        <f>(62154.32-62.15432)</f>
        <v>62092.165679999998</v>
      </c>
      <c r="C35" s="28">
        <f t="shared" si="4"/>
        <v>1.6266142257062921E-4</v>
      </c>
      <c r="D35" s="37">
        <v>10.1</v>
      </c>
      <c r="E35" s="37">
        <f>(B35*J3)</f>
        <v>5.5408726992148827</v>
      </c>
    </row>
    <row r="37" spans="2:20">
      <c r="B37">
        <f>(SUM(B5:B36))</f>
        <v>339681.91954592045</v>
      </c>
      <c r="D37" s="37">
        <f>(SUM(D5:D36))</f>
        <v>-21.780357561799917</v>
      </c>
      <c r="F37" t="s">
        <v>9</v>
      </c>
      <c r="G37" s="28">
        <f>(D37/B37)</f>
        <v>-6.4119861283507337E-5</v>
      </c>
      <c r="R37">
        <f>(SUM(R5:R36))</f>
        <v>339681.91954592045</v>
      </c>
      <c r="T37">
        <f>(SUM(T5:T36))</f>
        <v>-21.78035756179991</v>
      </c>
    </row>
  </sheetData>
  <conditionalFormatting sqref="C5:C9 C14:C16 C25:C26 C28 C30 C32 C35">
    <cfRule type="cellIs" dxfId="123" priority="13" operator="lessThan">
      <formula>$J$3</formula>
    </cfRule>
    <cfRule type="cellIs" dxfId="122" priority="14" operator="greaterThan">
      <formula>$J$3</formula>
    </cfRule>
  </conditionalFormatting>
  <conditionalFormatting sqref="N6">
    <cfRule type="cellIs" dxfId="121" priority="9" operator="lessThan">
      <formula>$J$3</formula>
    </cfRule>
    <cfRule type="cellIs" dxfId="120" priority="10" operator="greaterThan">
      <formula>$J$3</formula>
    </cfRule>
  </conditionalFormatting>
  <conditionalFormatting sqref="N9">
    <cfRule type="cellIs" dxfId="119" priority="5" operator="lessThan">
      <formula>$J$3</formula>
    </cfRule>
    <cfRule type="cellIs" dxfId="118" priority="6" operator="greaterThan">
      <formula>$J$3</formula>
    </cfRule>
  </conditionalFormatting>
  <conditionalFormatting sqref="S5:S9 S13">
    <cfRule type="cellIs" dxfId="117" priority="3" operator="lessThan">
      <formula>$J$3</formula>
    </cfRule>
    <cfRule type="cellIs" dxfId="116" priority="4" operator="greaterThan">
      <formula>$J$3</formula>
    </cfRule>
  </conditionalFormatting>
  <conditionalFormatting sqref="G37">
    <cfRule type="cellIs" dxfId="115" priority="1" operator="lessThan">
      <formula>$J$3</formula>
    </cfRule>
    <cfRule type="cellIs" dxfId="114" priority="2" operator="greaterThan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>
  <dimension ref="B3:U27"/>
  <sheetViews>
    <sheetView workbookViewId="0">
      <selection activeCell="T28" sqref="T28"/>
    </sheetView>
  </sheetViews>
  <sheetFormatPr baseColWidth="10" defaultColWidth="9.140625" defaultRowHeight="15"/>
  <cols>
    <col min="3" max="3" width="8.85546875" style="14" customWidth="1"/>
    <col min="4" max="4" width="10.28515625" style="14" bestFit="1" customWidth="1"/>
    <col min="6" max="6" width="9.28515625" style="14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37">
        <v>0.88533293815587222</v>
      </c>
      <c r="N3" s="19"/>
      <c r="O3" s="38"/>
      <c r="P3" s="37"/>
    </row>
    <row r="4" spans="2:21">
      <c r="B4" t="s">
        <v>5</v>
      </c>
      <c r="C4" t="s">
        <v>6</v>
      </c>
      <c r="D4" t="s">
        <v>7</v>
      </c>
      <c r="I4" t="s">
        <v>8</v>
      </c>
      <c r="J4" s="37">
        <f>(B18*J3)</f>
        <v>34.945261673929764</v>
      </c>
      <c r="K4" s="4">
        <f>(J4/D18-1)</f>
        <v>-4.9530995109342335E-2</v>
      </c>
      <c r="O4" s="37"/>
      <c r="P4" s="37"/>
      <c r="R4" t="s">
        <v>5</v>
      </c>
      <c r="S4" t="s">
        <v>6</v>
      </c>
      <c r="T4" t="s">
        <v>7</v>
      </c>
    </row>
    <row r="5" spans="2:21">
      <c r="B5" s="19">
        <v>12.2</v>
      </c>
      <c r="C5" s="37">
        <f>(D5/B5)</f>
        <v>0.8606557377049181</v>
      </c>
      <c r="D5" s="37">
        <v>10.5</v>
      </c>
      <c r="M5" t="s">
        <v>15</v>
      </c>
      <c r="N5" t="s">
        <v>29</v>
      </c>
      <c r="O5" t="s">
        <v>1</v>
      </c>
      <c r="P5" t="s">
        <v>2</v>
      </c>
      <c r="R5" s="19">
        <f>B5</f>
        <v>12.2</v>
      </c>
      <c r="S5" s="37">
        <f>(T5/R5)</f>
        <v>0.8606557377049181</v>
      </c>
      <c r="T5" s="37">
        <f>D5</f>
        <v>10.5</v>
      </c>
    </row>
    <row r="6" spans="2:21">
      <c r="B6" s="36">
        <v>0.22918830000000001</v>
      </c>
      <c r="C6" s="39">
        <v>0</v>
      </c>
      <c r="D6" s="26">
        <f>(B6*C6)</f>
        <v>0</v>
      </c>
      <c r="E6" s="37">
        <f>(B6*J3)</f>
        <v>0.20290795102994949</v>
      </c>
      <c r="M6" t="s">
        <v>11</v>
      </c>
      <c r="N6" s="19">
        <f>($B$7+$R$9)/5</f>
        <v>5.173730999777777</v>
      </c>
      <c r="O6" s="37">
        <f>($S$7*Params!K8)</f>
        <v>1.3650186724252362</v>
      </c>
      <c r="P6" s="37">
        <f>(O6*N6)</f>
        <v>7.0622394208019514</v>
      </c>
      <c r="R6" s="36">
        <f>(B6)</f>
        <v>0.22918830000000001</v>
      </c>
      <c r="S6" s="39">
        <v>0</v>
      </c>
      <c r="T6" s="26">
        <f>(D6)</f>
        <v>0</v>
      </c>
      <c r="U6" s="37">
        <f>(R6*J3)</f>
        <v>0.20290795102994949</v>
      </c>
    </row>
    <row r="7" spans="2:21">
      <c r="B7" s="19">
        <v>25.237749999999998</v>
      </c>
      <c r="C7" s="37">
        <f t="shared" ref="C7:C14" si="0">(D7/B7)</f>
        <v>1.0500143634040278</v>
      </c>
      <c r="D7" s="37">
        <v>26.5</v>
      </c>
      <c r="E7" t="s">
        <v>15</v>
      </c>
      <c r="N7" s="19">
        <f>($B$7+$R$9)/5</f>
        <v>5.173730999777777</v>
      </c>
      <c r="O7" s="37">
        <f>($S$7*Params!K9)</f>
        <v>1.6800229814464445</v>
      </c>
      <c r="P7" s="37">
        <f>(O7*N7)</f>
        <v>8.6919869794485543</v>
      </c>
      <c r="R7" s="19">
        <f>B7</f>
        <v>25.237749999999998</v>
      </c>
      <c r="S7" s="37">
        <f>(T7/R7)</f>
        <v>1.0500143634040278</v>
      </c>
      <c r="T7" s="37">
        <f>D7</f>
        <v>26.5</v>
      </c>
      <c r="U7" t="s">
        <v>15</v>
      </c>
    </row>
    <row r="8" spans="2:21">
      <c r="B8" s="19">
        <v>0.63003905000000004</v>
      </c>
      <c r="C8" s="37">
        <f t="shared" si="0"/>
        <v>0.79360160294826165</v>
      </c>
      <c r="D8" s="37">
        <v>0.5</v>
      </c>
      <c r="N8" s="19">
        <f>($B$7+$R$9)/5</f>
        <v>5.173730999777777</v>
      </c>
      <c r="O8" s="37">
        <f>($S$7*Params!K10)</f>
        <v>2.3100315994888612</v>
      </c>
      <c r="P8" s="37">
        <f>(O8*N8)</f>
        <v>11.951482096741763</v>
      </c>
      <c r="R8" s="19">
        <f>B8</f>
        <v>0.63003905000000004</v>
      </c>
      <c r="S8" s="37">
        <f>C8</f>
        <v>0.79360160294826165</v>
      </c>
      <c r="T8" s="38">
        <f>D8</f>
        <v>0.5</v>
      </c>
    </row>
    <row r="9" spans="2:21">
      <c r="B9" s="19">
        <v>-1.08</v>
      </c>
      <c r="C9" s="37">
        <f t="shared" si="0"/>
        <v>1.0499999999999998</v>
      </c>
      <c r="D9" s="37">
        <v>-1.1339999999999999</v>
      </c>
      <c r="N9" s="19">
        <f>($B$7+$R$9)/5</f>
        <v>5.173730999777777</v>
      </c>
      <c r="O9" s="37">
        <f>($C$7*Params!K11)</f>
        <v>4.200057453616111</v>
      </c>
      <c r="P9" s="37">
        <f>(O9*N9)</f>
        <v>21.729967448621387</v>
      </c>
      <c r="R9" s="19">
        <f>SUM(B9,B12,B13,B16)</f>
        <v>0.63090499888888907</v>
      </c>
      <c r="S9" s="37">
        <v>0</v>
      </c>
      <c r="T9" s="37">
        <f>SUM(D9,D12,D13,D16)</f>
        <v>-0.16714507569935888</v>
      </c>
    </row>
    <row r="10" spans="2:21">
      <c r="B10" s="19">
        <v>-2.44</v>
      </c>
      <c r="C10" s="37">
        <f t="shared" si="0"/>
        <v>1.0837143524590165</v>
      </c>
      <c r="D10" s="37">
        <v>-2.6442630199999999</v>
      </c>
      <c r="O10" s="37"/>
      <c r="P10" s="37"/>
      <c r="R10" s="19">
        <f>SUM(B10,B11,B14,B15,)</f>
        <v>0.54343987111111103</v>
      </c>
      <c r="S10" s="37">
        <v>0</v>
      </c>
      <c r="T10" s="37">
        <f>SUM(D10,D11,D14,D15)</f>
        <v>-0.56652009999999953</v>
      </c>
    </row>
    <row r="11" spans="2:21">
      <c r="B11" s="19">
        <v>-2.44</v>
      </c>
      <c r="C11" s="37">
        <f t="shared" si="0"/>
        <v>1.306959131147541</v>
      </c>
      <c r="D11" s="37">
        <v>-3.18898028</v>
      </c>
      <c r="O11" s="37"/>
      <c r="P11" s="37">
        <f>(SUM(P6:P9))</f>
        <v>49.435675945613653</v>
      </c>
      <c r="R11" s="19"/>
      <c r="S11" s="37"/>
      <c r="T11" s="37"/>
    </row>
    <row r="12" spans="2:21">
      <c r="B12" s="19">
        <v>-2.72</v>
      </c>
      <c r="C12" s="37">
        <f t="shared" si="0"/>
        <v>1.4766262647058821</v>
      </c>
      <c r="D12" s="37">
        <v>-4.0164234399999996</v>
      </c>
      <c r="O12" s="37"/>
      <c r="P12" s="37"/>
      <c r="S12" s="37"/>
      <c r="T12" s="37"/>
    </row>
    <row r="13" spans="2:21">
      <c r="B13" s="19">
        <v>3.0223285400000002</v>
      </c>
      <c r="C13" s="37">
        <f t="shared" si="0"/>
        <v>1.2540000035866385</v>
      </c>
      <c r="D13" s="37">
        <v>3.79</v>
      </c>
      <c r="N13" t="s">
        <v>29</v>
      </c>
      <c r="O13" t="s">
        <v>1</v>
      </c>
      <c r="P13" t="s">
        <v>2</v>
      </c>
      <c r="S13" s="37"/>
      <c r="T13" s="37"/>
    </row>
    <row r="14" spans="2:21">
      <c r="B14" s="19">
        <v>2.7123287600000001</v>
      </c>
      <c r="C14" s="37">
        <f t="shared" si="0"/>
        <v>1.0950000028757576</v>
      </c>
      <c r="D14" s="37">
        <v>2.97</v>
      </c>
      <c r="M14" t="s">
        <v>11</v>
      </c>
      <c r="N14" s="19">
        <f>($B$5+$R$10)/5</f>
        <v>2.5486879742222222</v>
      </c>
      <c r="O14" s="37">
        <f>($C$5*Params!K8)</f>
        <v>1.1188524590163935</v>
      </c>
      <c r="P14" s="37">
        <f>(O14*N14)</f>
        <v>2.8516058072240438</v>
      </c>
      <c r="S14" s="37"/>
      <c r="T14" s="37"/>
    </row>
    <row r="15" spans="2:21">
      <c r="B15" s="19">
        <f>2.44/0.9</f>
        <v>2.7111111111111108</v>
      </c>
      <c r="C15" s="37">
        <v>0.84715200000000002</v>
      </c>
      <c r="D15" s="37">
        <f>B15*C15</f>
        <v>2.2967231999999997</v>
      </c>
      <c r="N15" s="19">
        <f>($B$5+$R$10)/5</f>
        <v>2.5486879742222222</v>
      </c>
      <c r="O15" s="37">
        <f>($C$5*Params!K9)</f>
        <v>1.377049180327869</v>
      </c>
      <c r="P15" s="37">
        <f>(O15*N15)</f>
        <v>3.5096686858142081</v>
      </c>
      <c r="S15" s="37"/>
      <c r="T15" s="37"/>
    </row>
    <row r="16" spans="2:21">
      <c r="B16" s="19">
        <f>4.11968757-B15</f>
        <v>1.4085764588888892</v>
      </c>
      <c r="C16" s="37">
        <v>0.84715200000000002</v>
      </c>
      <c r="D16" s="37">
        <f>B16*C16</f>
        <v>1.1932783643006402</v>
      </c>
      <c r="N16" s="19">
        <f>($B$5+$R$10)/5</f>
        <v>2.5486879742222222</v>
      </c>
      <c r="O16" s="37">
        <f>($C$5*Params!K10)</f>
        <v>1.8934426229508199</v>
      </c>
      <c r="P16" s="37">
        <f>(O16*N16)</f>
        <v>4.8257944429945363</v>
      </c>
      <c r="S16" s="37"/>
      <c r="T16" s="37"/>
    </row>
    <row r="17" spans="2:20">
      <c r="B17" s="19"/>
      <c r="F17" t="s">
        <v>9</v>
      </c>
      <c r="G17" s="37">
        <f>(D18/B18)</f>
        <v>0.93146955197946857</v>
      </c>
      <c r="N17" s="19">
        <f>($B$5+$R$10)/5</f>
        <v>2.5486879742222222</v>
      </c>
      <c r="O17" s="37">
        <f>($C$5*Params!K11)</f>
        <v>3.4426229508196724</v>
      </c>
      <c r="P17" s="37">
        <f>(O17*N17)</f>
        <v>8.7741717145355196</v>
      </c>
      <c r="R17">
        <f>(SUM(R5:R12))</f>
        <v>39.471322219999998</v>
      </c>
      <c r="S17" s="37"/>
      <c r="T17" s="37">
        <f>(SUM(T5:T12))</f>
        <v>36.766334824300642</v>
      </c>
    </row>
    <row r="18" spans="2:20">
      <c r="B18" s="19">
        <f>(SUM(B5:B17))</f>
        <v>39.471322219999998</v>
      </c>
      <c r="D18" s="37">
        <f>(SUM(D5:D17))</f>
        <v>36.766334824300642</v>
      </c>
      <c r="O18" s="37"/>
      <c r="P18" s="37"/>
    </row>
    <row r="19" spans="2:20">
      <c r="O19" s="37"/>
      <c r="P19" s="37"/>
    </row>
    <row r="20" spans="2:20">
      <c r="O20" s="37"/>
      <c r="P20" s="37">
        <f>(SUM(P14:P17))</f>
        <v>19.961240650568307</v>
      </c>
    </row>
    <row r="27" spans="2:20">
      <c r="H27" s="38"/>
    </row>
  </sheetData>
  <conditionalFormatting sqref="C5 C7:C8 C13:C16 O6:O9 O14:O17 S5 S7">
    <cfRule type="cellIs" dxfId="113" priority="23" operator="lessThan">
      <formula>$J$3</formula>
    </cfRule>
    <cfRule type="cellIs" dxfId="112" priority="24" operator="greaterThan">
      <formula>$J$3</formula>
    </cfRule>
  </conditionalFormatting>
  <conditionalFormatting sqref="S8">
    <cfRule type="cellIs" dxfId="111" priority="1" operator="lessThan">
      <formula>$J$3</formula>
    </cfRule>
    <cfRule type="cellIs" dxfId="110" priority="2" operator="greaterThan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>
  <dimension ref="B3:P11"/>
  <sheetViews>
    <sheetView workbookViewId="0">
      <selection activeCell="B8" sqref="B8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7">
        <v>0.57941185453353616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7">
        <f>(B10*J3)</f>
        <v>30.830445778220312</v>
      </c>
      <c r="K4" s="4">
        <f>(J4/D10-1)</f>
        <v>-0.2212567370997649</v>
      </c>
    </row>
    <row r="5" spans="2:16">
      <c r="B5" s="29">
        <v>52.247700000000002</v>
      </c>
      <c r="C5" s="37">
        <f>(D5/B5)</f>
        <v>0.7577367041994193</v>
      </c>
      <c r="D5" s="37">
        <v>39.590000000000003</v>
      </c>
      <c r="E5" t="s">
        <v>80</v>
      </c>
      <c r="M5" t="s">
        <v>80</v>
      </c>
      <c r="N5" t="s">
        <v>29</v>
      </c>
      <c r="O5" t="s">
        <v>1</v>
      </c>
      <c r="P5" t="s">
        <v>2</v>
      </c>
    </row>
    <row r="6" spans="2:16">
      <c r="B6" s="36">
        <v>0.96143955999999997</v>
      </c>
      <c r="C6" s="39">
        <v>0</v>
      </c>
      <c r="D6" s="26">
        <f>(B6*C6)</f>
        <v>0</v>
      </c>
      <c r="E6" s="37">
        <f>(B6*J3)</f>
        <v>0.55706947848150701</v>
      </c>
      <c r="M6" t="s">
        <v>11</v>
      </c>
      <c r="N6" s="29">
        <f>($B$10/5)</f>
        <v>10.641979634</v>
      </c>
      <c r="O6" s="37">
        <f>($C$5*Params!K8)</f>
        <v>0.98505771545924514</v>
      </c>
      <c r="P6" s="37">
        <f>(O6*N6)</f>
        <v>10.482964146231854</v>
      </c>
    </row>
    <row r="7" spans="2:16">
      <c r="B7" s="36">
        <v>7.5860999999999995E-4</v>
      </c>
      <c r="C7" s="39">
        <v>0</v>
      </c>
      <c r="D7" s="26">
        <f>(B7*C7)</f>
        <v>0</v>
      </c>
      <c r="E7" s="37">
        <f>(B7*J4)</f>
        <v>2.338828447181571E-2</v>
      </c>
      <c r="N7" s="29">
        <f>($B$10/5)</f>
        <v>10.641979634</v>
      </c>
      <c r="O7" s="37">
        <f>($C$5*Params!K9)</f>
        <v>1.2123787267190709</v>
      </c>
      <c r="P7" s="37">
        <f>(O7*N7)</f>
        <v>12.902109718439204</v>
      </c>
    </row>
    <row r="8" spans="2:16">
      <c r="N8" s="29">
        <f>($B$10/5)</f>
        <v>10.641979634</v>
      </c>
      <c r="O8" s="37">
        <f>($C$5*Params!K10)</f>
        <v>1.6670207492387226</v>
      </c>
      <c r="P8" s="37">
        <f>(O8*N8)</f>
        <v>17.740400862853907</v>
      </c>
    </row>
    <row r="9" spans="2:16">
      <c r="F9" t="s">
        <v>9</v>
      </c>
      <c r="G9" s="37">
        <f>(D10/B10)</f>
        <v>0.74403450037649266</v>
      </c>
      <c r="N9" s="29">
        <f>($B$10/5)</f>
        <v>10.641979634</v>
      </c>
      <c r="O9" s="37">
        <f>($C$5*Params!K11)</f>
        <v>3.0309468167976772</v>
      </c>
      <c r="P9" s="37">
        <f>(O9*N9)</f>
        <v>32.255274296098008</v>
      </c>
    </row>
    <row r="10" spans="2:16">
      <c r="B10">
        <f>(SUM(B5:B9))</f>
        <v>53.209898170000002</v>
      </c>
      <c r="D10" s="37">
        <f>(SUM(D5:D9))</f>
        <v>39.590000000000003</v>
      </c>
    </row>
    <row r="11" spans="2:16">
      <c r="P11" s="37">
        <f>(SUM(P6:P9))</f>
        <v>73.380749023622968</v>
      </c>
    </row>
  </sheetData>
  <conditionalFormatting sqref="C5">
    <cfRule type="cellIs" dxfId="109" priority="5" operator="lessThan">
      <formula>$J$3</formula>
    </cfRule>
    <cfRule type="cellIs" dxfId="108" priority="6" operator="greaterThan">
      <formula>$J$3</formula>
    </cfRule>
  </conditionalFormatting>
  <conditionalFormatting sqref="O6:O9">
    <cfRule type="cellIs" dxfId="107" priority="3" operator="lessThan">
      <formula>$J$3</formula>
    </cfRule>
    <cfRule type="cellIs" dxfId="106" priority="4" operator="greaterThan">
      <formula>$J$3</formula>
    </cfRule>
  </conditionalFormatting>
  <conditionalFormatting sqref="G9">
    <cfRule type="cellIs" dxfId="105" priority="1" operator="lessThan">
      <formula>$J$3</formula>
    </cfRule>
    <cfRule type="cellIs" dxfId="104" priority="2" operator="greaterThan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>
  <dimension ref="B3:V22"/>
  <sheetViews>
    <sheetView workbookViewId="0">
      <selection activeCell="B8" sqref="B8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2">
      <c r="I3" t="s">
        <v>3</v>
      </c>
      <c r="J3" s="37">
        <v>1.6386558148850769</v>
      </c>
      <c r="N3" s="1"/>
      <c r="O3" s="49"/>
      <c r="P3" s="37"/>
    </row>
    <row r="4" spans="2:22">
      <c r="B4" t="s">
        <v>5</v>
      </c>
      <c r="C4" t="s">
        <v>6</v>
      </c>
      <c r="D4" t="s">
        <v>7</v>
      </c>
      <c r="I4" t="s">
        <v>8</v>
      </c>
      <c r="J4" s="37">
        <f>(B19*J3)</f>
        <v>25.689077661734434</v>
      </c>
      <c r="K4" s="4">
        <f>(J4/D19-1)</f>
        <v>-0.12020917007979015</v>
      </c>
      <c r="O4" s="37"/>
      <c r="P4" s="37"/>
      <c r="R4" t="s">
        <v>5</v>
      </c>
      <c r="S4" t="s">
        <v>6</v>
      </c>
      <c r="T4" t="s">
        <v>7</v>
      </c>
    </row>
    <row r="5" spans="2:22">
      <c r="B5" s="1">
        <v>1.79</v>
      </c>
      <c r="C5" s="37">
        <f>(D5/B5)</f>
        <v>1.6759776536312849</v>
      </c>
      <c r="D5" s="37">
        <v>3</v>
      </c>
      <c r="E5" t="s">
        <v>81</v>
      </c>
      <c r="M5" t="s">
        <v>81</v>
      </c>
      <c r="N5" t="s">
        <v>29</v>
      </c>
      <c r="O5" t="s">
        <v>1</v>
      </c>
      <c r="P5" t="s">
        <v>2</v>
      </c>
      <c r="R5" s="1">
        <f>(B5)</f>
        <v>1.79</v>
      </c>
      <c r="S5" s="37">
        <f>(T5/R5)</f>
        <v>1.6759776536312849</v>
      </c>
      <c r="T5" s="37">
        <f>(D5)</f>
        <v>3</v>
      </c>
    </row>
    <row r="6" spans="2:22">
      <c r="B6" s="1">
        <v>13.5844</v>
      </c>
      <c r="C6" s="37">
        <f>(D6/B6)</f>
        <v>1.9507670563293189</v>
      </c>
      <c r="D6" s="37">
        <v>26.5</v>
      </c>
      <c r="E6" t="s">
        <v>15</v>
      </c>
      <c r="M6" t="s">
        <v>11</v>
      </c>
      <c r="N6" s="1">
        <f>(($B$5+$R$9)/5)</f>
        <v>0.38226118247719681</v>
      </c>
      <c r="O6" s="37">
        <f>($C$5*Params!K8)</f>
        <v>2.1787709497206706</v>
      </c>
      <c r="P6" s="37">
        <f>(O6*N6)</f>
        <v>0.83285955958718871</v>
      </c>
      <c r="R6" s="1">
        <f>B6</f>
        <v>13.5844</v>
      </c>
      <c r="S6" s="37">
        <f>(T6/R6)</f>
        <v>1.9507670563293189</v>
      </c>
      <c r="T6" s="37">
        <f>D6</f>
        <v>26.5</v>
      </c>
      <c r="U6" s="37" t="str">
        <f>(E6)</f>
        <v>DCA2</v>
      </c>
    </row>
    <row r="7" spans="2:22">
      <c r="B7" s="2">
        <v>4.5399759999999997E-2</v>
      </c>
      <c r="C7" s="39">
        <v>0</v>
      </c>
      <c r="D7" s="26">
        <v>0</v>
      </c>
      <c r="E7" s="38">
        <f>B7*J3</f>
        <v>7.4394580718386921E-2</v>
      </c>
      <c r="N7" s="1">
        <f>(($B$5+$R$9)/5)</f>
        <v>0.38226118247719681</v>
      </c>
      <c r="O7" s="37">
        <f>($C$5*Params!K9)</f>
        <v>2.6815642458100561</v>
      </c>
      <c r="P7" s="37">
        <f>(O7*N7)</f>
        <v>1.0250579194919245</v>
      </c>
      <c r="R7" s="2">
        <f>(B7)</f>
        <v>4.5399759999999997E-2</v>
      </c>
      <c r="S7" s="39">
        <v>0</v>
      </c>
      <c r="T7" s="26">
        <f>(D7)</f>
        <v>0</v>
      </c>
    </row>
    <row r="8" spans="2:22">
      <c r="B8" s="1">
        <v>-0.6</v>
      </c>
      <c r="C8" s="37">
        <f t="shared" ref="C8:C17" si="0">(D8/B8)</f>
        <v>1.9313681166666667</v>
      </c>
      <c r="D8" s="37">
        <v>-1.15882087</v>
      </c>
      <c r="E8" t="s">
        <v>16</v>
      </c>
      <c r="N8" s="1">
        <f>(($B$5+$R$9)/5)</f>
        <v>0.38226118247719681</v>
      </c>
      <c r="O8" s="37">
        <f>($C$5*Params!K10)</f>
        <v>3.6871508379888271</v>
      </c>
      <c r="P8" s="37">
        <f>(O8*N8)</f>
        <v>1.4094546393013963</v>
      </c>
      <c r="R8" s="1">
        <f>(B10+B13+B8+B17)</f>
        <v>0.13581527000000004</v>
      </c>
      <c r="S8" s="37">
        <v>0</v>
      </c>
      <c r="T8" s="37">
        <f>(D10+D13+D8+D17)</f>
        <v>-0.13482086999999998</v>
      </c>
      <c r="U8" t="s">
        <v>15</v>
      </c>
      <c r="V8" s="38">
        <f>-T8+R8*$J$3</f>
        <v>0.35737535193568681</v>
      </c>
    </row>
    <row r="9" spans="2:22">
      <c r="B9" s="1">
        <v>-0.35799999999999998</v>
      </c>
      <c r="C9" s="37">
        <f t="shared" si="0"/>
        <v>2.1201117318435756</v>
      </c>
      <c r="D9" s="37">
        <f>(-0.764+0.005)</f>
        <v>-0.75900000000000001</v>
      </c>
      <c r="N9" s="1">
        <f>(($B$5+$R$9)/5)</f>
        <v>0.38226118247719681</v>
      </c>
      <c r="O9" s="37">
        <f>($C$5*Params!K11)</f>
        <v>6.7039106145251397</v>
      </c>
      <c r="P9" s="37">
        <f>(O9*N9)</f>
        <v>2.5626447987298109</v>
      </c>
      <c r="R9" s="1">
        <f>(B12+B11+B9+B14+B15+B16)</f>
        <v>0.12130591238598404</v>
      </c>
      <c r="S9" s="37">
        <v>0</v>
      </c>
      <c r="T9" s="37">
        <f>(D12+D11+D9+D14)+D15+D16</f>
        <v>-0.16610499999999995</v>
      </c>
      <c r="U9" t="s">
        <v>81</v>
      </c>
      <c r="V9" s="38">
        <f>-T9+R9*$J$3</f>
        <v>0.36488363871123236</v>
      </c>
    </row>
    <row r="10" spans="2:22">
      <c r="B10" s="1">
        <v>-0.6</v>
      </c>
      <c r="C10" s="37">
        <f t="shared" si="0"/>
        <v>2.2549999999999999</v>
      </c>
      <c r="D10" s="37">
        <v>-1.353</v>
      </c>
      <c r="N10" s="1"/>
      <c r="O10" s="37"/>
      <c r="P10" s="37"/>
      <c r="R10" s="1"/>
      <c r="S10" s="37"/>
      <c r="T10" s="37"/>
    </row>
    <row r="11" spans="2:22">
      <c r="B11" s="1">
        <v>-0.35742035742035699</v>
      </c>
      <c r="C11" s="37">
        <f t="shared" si="0"/>
        <v>2.5063737456521769</v>
      </c>
      <c r="D11" s="37">
        <v>-0.89582899999999999</v>
      </c>
      <c r="N11" s="1"/>
      <c r="O11" s="37"/>
      <c r="P11" s="37">
        <f>(SUM(P6:P9))</f>
        <v>5.8300169171103207</v>
      </c>
    </row>
    <row r="12" spans="2:22">
      <c r="B12" s="1">
        <v>0.38853337131153298</v>
      </c>
      <c r="C12" s="37">
        <f t="shared" si="0"/>
        <v>2.1872767251145362</v>
      </c>
      <c r="D12" s="37">
        <v>0.84982999999999997</v>
      </c>
      <c r="N12" s="1"/>
      <c r="O12" s="37"/>
      <c r="P12" s="37"/>
      <c r="S12" s="37"/>
      <c r="T12" s="37"/>
    </row>
    <row r="13" spans="2:22">
      <c r="B13" s="1">
        <v>0.66773927</v>
      </c>
      <c r="C13" s="37">
        <f t="shared" si="0"/>
        <v>1.9124230929236794</v>
      </c>
      <c r="D13" s="37">
        <v>1.2769999999999999</v>
      </c>
      <c r="M13" t="s">
        <v>15</v>
      </c>
      <c r="N13" t="s">
        <v>29</v>
      </c>
      <c r="O13" t="s">
        <v>1</v>
      </c>
      <c r="P13" t="s">
        <v>2</v>
      </c>
      <c r="S13" s="37"/>
      <c r="T13" s="37"/>
    </row>
    <row r="14" spans="2:22">
      <c r="B14" s="1">
        <v>0.39380211586237701</v>
      </c>
      <c r="C14" s="37">
        <f t="shared" si="0"/>
        <v>1.7677837978993687</v>
      </c>
      <c r="D14" s="37">
        <v>0.69615700000000003</v>
      </c>
      <c r="M14" t="s">
        <v>11</v>
      </c>
      <c r="N14" s="1">
        <f>(($B$6+$R$8)/5)</f>
        <v>2.744043054</v>
      </c>
      <c r="O14" s="37">
        <f>($C$6*Params!K8)</f>
        <v>2.5359971732281146</v>
      </c>
      <c r="P14" s="37">
        <f>(O14*N14)</f>
        <v>6.9588854281602428</v>
      </c>
      <c r="S14" s="37"/>
      <c r="T14" s="37"/>
    </row>
    <row r="15" spans="2:22">
      <c r="B15" s="1">
        <v>-0.36489607390300199</v>
      </c>
      <c r="C15" s="37">
        <f t="shared" si="0"/>
        <v>2.1019875379746855</v>
      </c>
      <c r="D15" s="37">
        <v>-0.76700699999999999</v>
      </c>
      <c r="N15" s="1">
        <f>(($B$6+$R$8)/5)</f>
        <v>2.744043054</v>
      </c>
      <c r="O15" s="37">
        <f>($C$6*Params!K9)</f>
        <v>3.1212272901269102</v>
      </c>
      <c r="P15" s="37">
        <f>(O15*N15)</f>
        <v>8.5647820654279911</v>
      </c>
      <c r="S15" s="37"/>
      <c r="T15" s="37"/>
    </row>
    <row r="16" spans="2:22">
      <c r="B16" s="1">
        <v>0.41928685653543302</v>
      </c>
      <c r="C16" s="37">
        <f t="shared" si="0"/>
        <v>1.6927408740274241</v>
      </c>
      <c r="D16" s="37">
        <v>0.70974400000000004</v>
      </c>
      <c r="N16" s="1">
        <f>(($B$6+$R$8)/5)</f>
        <v>2.744043054</v>
      </c>
      <c r="O16" s="37">
        <f>($C$6*Params!K10)</f>
        <v>4.2916875239245016</v>
      </c>
      <c r="P16" s="37">
        <f>(O16*N16)</f>
        <v>11.776575339963488</v>
      </c>
      <c r="S16" s="37"/>
      <c r="T16" s="37"/>
    </row>
    <row r="17" spans="2:20">
      <c r="B17" s="1">
        <v>0.668076</v>
      </c>
      <c r="C17" s="37">
        <f t="shared" si="0"/>
        <v>1.6465192582879793</v>
      </c>
      <c r="D17" s="37">
        <v>1.1000000000000001</v>
      </c>
      <c r="N17" s="1">
        <f>(($B$6+$R$8)/5)</f>
        <v>2.744043054</v>
      </c>
      <c r="O17" s="37">
        <f>($C$6*Params!K11)</f>
        <v>7.8030682253172756</v>
      </c>
      <c r="P17" s="37">
        <f>(O17*N17)</f>
        <v>21.411955163569978</v>
      </c>
      <c r="S17" s="37"/>
      <c r="T17" s="37"/>
    </row>
    <row r="18" spans="2:20">
      <c r="C18" s="37"/>
      <c r="D18" s="37"/>
      <c r="F18" t="s">
        <v>9</v>
      </c>
      <c r="G18">
        <f>(D19/B19)</f>
        <v>1.8625515965353836</v>
      </c>
      <c r="O18" s="37"/>
      <c r="P18" s="37"/>
      <c r="S18" s="37"/>
      <c r="T18" s="37"/>
    </row>
    <row r="19" spans="2:20">
      <c r="B19" s="1">
        <f>(SUM(B5:B18))</f>
        <v>15.676920942385983</v>
      </c>
      <c r="C19" s="37"/>
      <c r="D19" s="37">
        <f>(SUM(D5:D18))</f>
        <v>29.199074130000003</v>
      </c>
      <c r="O19" s="37"/>
      <c r="P19" s="37">
        <f>(SUM(P14:P17))</f>
        <v>48.712197997121699</v>
      </c>
      <c r="S19" s="37"/>
      <c r="T19" s="37"/>
    </row>
    <row r="20" spans="2:20">
      <c r="S20" s="37"/>
      <c r="T20" s="37"/>
    </row>
    <row r="21" spans="2:20">
      <c r="S21" s="37"/>
      <c r="T21" s="37"/>
    </row>
    <row r="22" spans="2:20">
      <c r="R22" s="1">
        <f>(SUM(R5:R21))</f>
        <v>15.676920942385985</v>
      </c>
      <c r="S22" s="37"/>
      <c r="T22" s="37">
        <f>(SUM(T5:T21))</f>
        <v>29.19907413</v>
      </c>
    </row>
  </sheetData>
  <conditionalFormatting sqref="C5:C6 C12:C14 C16:C17 O6:O9 O14:O17 S5:S6">
    <cfRule type="cellIs" dxfId="103" priority="17" operator="lessThan">
      <formula>$J$3</formula>
    </cfRule>
    <cfRule type="cellIs" dxfId="102" priority="18" operator="greaterThan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O11" sqref="O11"/>
    </sheetView>
  </sheetViews>
  <sheetFormatPr baseColWidth="10" defaultColWidth="9.140625" defaultRowHeight="15"/>
  <cols>
    <col min="3" max="3" width="12" style="14" bestFit="1" customWidth="1"/>
    <col min="9" max="9" width="12.42578125" style="14" bestFit="1" customWidth="1"/>
    <col min="10" max="10" width="12" style="14" bestFit="1" customWidth="1"/>
    <col min="14" max="14" width="10.140625" style="14" bestFit="1" customWidth="1"/>
    <col min="15" max="15" width="12" style="14" bestFit="1" customWidth="1"/>
  </cols>
  <sheetData>
    <row r="3" spans="2:16">
      <c r="I3" t="s">
        <v>3</v>
      </c>
      <c r="J3" s="50">
        <v>8.8952855391983772E-6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7">
        <f>(B13*J3)</f>
        <v>3.9110289764643014</v>
      </c>
      <c r="K4" s="4">
        <f>(J4/D13-1)</f>
        <v>-0.22245944801902562</v>
      </c>
    </row>
    <row r="5" spans="2:16">
      <c r="B5" s="22">
        <v>439531.68</v>
      </c>
      <c r="C5" s="50">
        <f>(D5/B5)</f>
        <v>1.1443998757950737E-5</v>
      </c>
      <c r="D5" s="37">
        <v>5.03</v>
      </c>
      <c r="E5" s="37"/>
      <c r="F5" s="37"/>
      <c r="G5" s="37"/>
      <c r="N5" t="s">
        <v>29</v>
      </c>
      <c r="O5" t="s">
        <v>1</v>
      </c>
      <c r="P5" t="s">
        <v>2</v>
      </c>
    </row>
    <row r="6" spans="2:16">
      <c r="B6" s="36">
        <v>142.68</v>
      </c>
      <c r="C6" s="39">
        <v>0</v>
      </c>
      <c r="D6" s="26">
        <f>(B6*C6)</f>
        <v>0</v>
      </c>
      <c r="E6" s="37">
        <f>(B6*J3)</f>
        <v>1.2691793407328246E-3</v>
      </c>
      <c r="F6" s="37"/>
      <c r="G6" s="37"/>
      <c r="M6" t="s">
        <v>11</v>
      </c>
      <c r="N6" s="22">
        <f>($B$5/5)</f>
        <v>87906.335999999996</v>
      </c>
      <c r="O6" s="28">
        <f>($C$5*Params!K8)</f>
        <v>1.4877198385335959E-5</v>
      </c>
      <c r="P6" s="37">
        <f>(O6*N6)</f>
        <v>1.3078000000000003</v>
      </c>
    </row>
    <row r="7" spans="2:16">
      <c r="C7" s="37"/>
      <c r="D7" s="37"/>
      <c r="E7" s="37"/>
      <c r="F7" s="37"/>
      <c r="G7" s="37"/>
      <c r="N7" s="22">
        <f>($B$5/5)</f>
        <v>87906.335999999996</v>
      </c>
      <c r="O7" s="28">
        <f>($C$5*Params!K9)</f>
        <v>1.8310398012721179E-5</v>
      </c>
      <c r="P7" s="37">
        <f>(O7*N7)</f>
        <v>1.6096000000000001</v>
      </c>
    </row>
    <row r="8" spans="2:16">
      <c r="C8" s="37"/>
      <c r="D8" s="37"/>
      <c r="E8" s="37"/>
      <c r="F8" s="37"/>
      <c r="G8" s="37"/>
      <c r="N8" s="22">
        <f>($B$5/5)</f>
        <v>87906.335999999996</v>
      </c>
      <c r="O8" s="28">
        <f>($C$5*Params!K10)</f>
        <v>2.5176797267491623E-5</v>
      </c>
      <c r="P8" s="37">
        <f>(O8*N8)</f>
        <v>2.2132000000000005</v>
      </c>
    </row>
    <row r="9" spans="2:16">
      <c r="C9" s="37"/>
      <c r="D9" s="37"/>
      <c r="E9" s="37"/>
      <c r="F9" s="37"/>
      <c r="G9" s="37"/>
      <c r="N9" s="22">
        <f>($B$5/5)</f>
        <v>87906.335999999996</v>
      </c>
      <c r="O9" s="28">
        <f>($C$5*Params!K11)</f>
        <v>4.5775995031802946E-5</v>
      </c>
      <c r="P9" s="37">
        <f>(O9*N9)</f>
        <v>4.024</v>
      </c>
    </row>
    <row r="10" spans="2:16">
      <c r="C10" s="37"/>
      <c r="D10" s="37"/>
      <c r="E10" s="37"/>
      <c r="F10" s="37"/>
      <c r="G10" s="37"/>
      <c r="O10" s="37"/>
      <c r="P10" s="37"/>
    </row>
    <row r="11" spans="2:16">
      <c r="C11" s="37"/>
      <c r="D11" s="37"/>
      <c r="E11" s="37"/>
      <c r="F11" s="37"/>
      <c r="G11" s="37"/>
      <c r="O11" s="37"/>
      <c r="P11" s="37">
        <f>(SUM(P6:P9))</f>
        <v>9.1546000000000021</v>
      </c>
    </row>
    <row r="12" spans="2:16">
      <c r="C12" s="37"/>
      <c r="D12" s="37"/>
      <c r="E12" s="37"/>
      <c r="F12" s="37" t="s">
        <v>9</v>
      </c>
      <c r="G12" s="37">
        <f>(D13/B13)</f>
        <v>1.1440285032768344E-5</v>
      </c>
    </row>
    <row r="13" spans="2:16">
      <c r="B13">
        <f>(SUM(B5:B12))</f>
        <v>439674.36</v>
      </c>
      <c r="C13" s="37"/>
      <c r="D13" s="37">
        <f>(SUM(D5:D12))</f>
        <v>5.03</v>
      </c>
      <c r="E13" s="37"/>
      <c r="F13" s="37"/>
      <c r="G13" s="37"/>
    </row>
  </sheetData>
  <conditionalFormatting sqref="C5">
    <cfRule type="cellIs" dxfId="101" priority="5" operator="lessThan">
      <formula>$J$3</formula>
    </cfRule>
    <cfRule type="cellIs" dxfId="100" priority="6" operator="greaterThan">
      <formula>$J$3</formula>
    </cfRule>
  </conditionalFormatting>
  <conditionalFormatting sqref="J3">
    <cfRule type="cellIs" dxfId="99" priority="3" operator="lessThan">
      <formula>$J$3</formula>
    </cfRule>
    <cfRule type="cellIs" dxfId="98" priority="4" operator="greaterThan">
      <formula>$J$3</formula>
    </cfRule>
  </conditionalFormatting>
  <conditionalFormatting sqref="O6:O9">
    <cfRule type="cellIs" dxfId="97" priority="1" operator="lessThan">
      <formula>$J$3</formula>
    </cfRule>
    <cfRule type="cellIs" dxfId="96" priority="2" operator="greaterThan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>
  <dimension ref="B2:U33"/>
  <sheetViews>
    <sheetView workbookViewId="0">
      <selection activeCell="S14" sqref="S14"/>
    </sheetView>
  </sheetViews>
  <sheetFormatPr baseColWidth="10" defaultColWidth="9.140625" defaultRowHeight="15"/>
  <cols>
    <col min="3" max="3" width="9" style="14" bestFit="1" customWidth="1"/>
    <col min="4" max="4" width="10.28515625" style="14" bestFit="1" customWidth="1"/>
    <col min="5" max="5" width="9.7109375" style="14" bestFit="1" customWidth="1"/>
    <col min="14" max="14" width="12" style="14" bestFit="1" customWidth="1"/>
    <col min="15" max="15" width="11.28515625" style="14" bestFit="1" customWidth="1"/>
    <col min="20" max="20" width="10.28515625" style="14" bestFit="1" customWidth="1"/>
  </cols>
  <sheetData>
    <row r="2" spans="2:20">
      <c r="N2" t="s">
        <v>0</v>
      </c>
      <c r="O2" t="s">
        <v>1</v>
      </c>
      <c r="P2" t="s">
        <v>2</v>
      </c>
    </row>
    <row r="3" spans="2:20">
      <c r="I3" t="s">
        <v>3</v>
      </c>
      <c r="J3" s="37">
        <v>20.01271759921794</v>
      </c>
      <c r="M3" t="s">
        <v>4</v>
      </c>
      <c r="N3" s="24">
        <f>(INDEX(N5:N26,MATCH(MAX(O6:O7,O23,O14:O15),O5:O26,0))/0.9)</f>
        <v>0.11333333333333333</v>
      </c>
      <c r="O3" s="38">
        <f>(MAX(O14:O15,O23,O6:O7)*0.85)</f>
        <v>18.797183333333333</v>
      </c>
      <c r="P3" s="37">
        <f>(O3*N3)</f>
        <v>2.1303474444444443</v>
      </c>
    </row>
    <row r="4" spans="2:20">
      <c r="B4" t="s">
        <v>5</v>
      </c>
      <c r="C4" t="s">
        <v>6</v>
      </c>
      <c r="D4" t="s">
        <v>7</v>
      </c>
      <c r="E4" t="s">
        <v>35</v>
      </c>
      <c r="I4" t="s">
        <v>8</v>
      </c>
      <c r="J4" s="37">
        <f>(B31*J3)</f>
        <v>118.12498840030668</v>
      </c>
      <c r="K4" s="4">
        <f>(J4/D31-1)</f>
        <v>-0.26471461939129548</v>
      </c>
      <c r="O4" s="37"/>
      <c r="P4" s="37"/>
      <c r="R4" t="s">
        <v>5</v>
      </c>
      <c r="S4" t="s">
        <v>6</v>
      </c>
      <c r="T4" t="s">
        <v>7</v>
      </c>
    </row>
    <row r="5" spans="2:20">
      <c r="B5" s="24">
        <f>(0.108955+8*0.0233458)</f>
        <v>0.29572140000000002</v>
      </c>
      <c r="C5" s="37">
        <v>196</v>
      </c>
      <c r="D5" s="37">
        <f>(B5*C5)</f>
        <v>57.961394400000003</v>
      </c>
      <c r="E5" s="37"/>
      <c r="N5" t="s">
        <v>29</v>
      </c>
      <c r="O5" t="s">
        <v>1</v>
      </c>
      <c r="P5" t="s">
        <v>2</v>
      </c>
      <c r="R5" s="24">
        <f>(B5)</f>
        <v>0.29572140000000002</v>
      </c>
      <c r="S5" s="37">
        <f>(C5)</f>
        <v>196</v>
      </c>
      <c r="T5" s="37">
        <f>(R5*S5)</f>
        <v>57.961394400000003</v>
      </c>
    </row>
    <row r="6" spans="2:20">
      <c r="B6" s="24">
        <f>(-0.00801)</f>
        <v>-8.0099999999999998E-3</v>
      </c>
      <c r="C6" s="37">
        <f t="shared" ref="C6:C11" si="0">(D6/B6)</f>
        <v>37.551186017478159</v>
      </c>
      <c r="D6" s="37">
        <v>-0.30078500000000002</v>
      </c>
      <c r="E6" s="37"/>
      <c r="M6" t="s">
        <v>11</v>
      </c>
      <c r="N6" s="24">
        <f>($B$16/5)</f>
        <v>9.8105999999999999E-2</v>
      </c>
      <c r="O6" s="37">
        <f>(C23)</f>
        <v>16.233513403322799</v>
      </c>
      <c r="P6" s="37">
        <f>(O6*N6)</f>
        <v>1.5926050659463866</v>
      </c>
      <c r="Q6" t="s">
        <v>12</v>
      </c>
      <c r="R6" s="24">
        <f>(B6+B7+B8+B9)</f>
        <v>1.406590000000001E-3</v>
      </c>
      <c r="S6" s="37">
        <v>0</v>
      </c>
      <c r="T6" s="37">
        <f>(D6+D7+D8+D9)</f>
        <v>-3.0785000000000007E-2</v>
      </c>
    </row>
    <row r="7" spans="2:20">
      <c r="B7" s="24">
        <v>-7.3249999999999999E-3</v>
      </c>
      <c r="C7" s="37">
        <f t="shared" si="0"/>
        <v>40.955631399317404</v>
      </c>
      <c r="D7" s="37">
        <v>-0.3</v>
      </c>
      <c r="E7" s="37"/>
      <c r="N7" s="24">
        <f>(-B29)</f>
        <v>0.10199999999999999</v>
      </c>
      <c r="O7" s="37">
        <f>(C29)</f>
        <v>22.114333333333335</v>
      </c>
      <c r="P7" s="37">
        <f>(O7*N7)</f>
        <v>2.2556620000000001</v>
      </c>
      <c r="Q7" t="s">
        <v>12</v>
      </c>
      <c r="R7" s="24">
        <f>(B10+B11)</f>
        <v>1.6940399999999939E-3</v>
      </c>
      <c r="S7" s="37">
        <v>0</v>
      </c>
      <c r="T7" s="37">
        <f>(D10+D11)</f>
        <v>-0.22120000000000006</v>
      </c>
    </row>
    <row r="8" spans="2:20">
      <c r="B8" s="24">
        <f>(0.00803628-0.0000683)</f>
        <v>7.9679799999999995E-3</v>
      </c>
      <c r="C8" s="37">
        <f t="shared" si="0"/>
        <v>36.395673683919888</v>
      </c>
      <c r="D8" s="37">
        <v>0.28999999999999998</v>
      </c>
      <c r="E8" s="37"/>
      <c r="N8" s="24">
        <f>(($B$16+$R$21)/5)</f>
        <v>0.10044111600000001</v>
      </c>
      <c r="O8" s="37">
        <f>($C$16*Params!K10)</f>
        <v>28.255152590055655</v>
      </c>
      <c r="P8" s="37">
        <f>(O8*N8)</f>
        <v>2.8379790588954807</v>
      </c>
      <c r="R8" s="24">
        <f>(B12)</f>
        <v>2.0999999999999999E-3</v>
      </c>
      <c r="S8" s="37">
        <v>0</v>
      </c>
      <c r="T8" s="37">
        <f>(R8*S8)</f>
        <v>0</v>
      </c>
    </row>
    <row r="9" spans="2:20">
      <c r="B9" s="24">
        <f>(0.00884882-0.00007521)</f>
        <v>8.7736100000000011E-3</v>
      </c>
      <c r="C9" s="37">
        <f t="shared" si="0"/>
        <v>31.913887214043022</v>
      </c>
      <c r="D9" s="37">
        <v>0.28000000000000003</v>
      </c>
      <c r="E9" s="37"/>
      <c r="N9" s="24">
        <f>(($B$16+$R$21)/5)</f>
        <v>0.10044111600000001</v>
      </c>
      <c r="O9" s="37">
        <f>($C$16*Params!K11)</f>
        <v>51.373004709192095</v>
      </c>
      <c r="P9" s="37">
        <f>(O9*N9)</f>
        <v>5.1599619252645104</v>
      </c>
      <c r="R9" s="24">
        <f>(B13)</f>
        <v>4.078E-3</v>
      </c>
      <c r="S9" s="37">
        <f>(T9/R9)</f>
        <v>0</v>
      </c>
      <c r="T9" s="37">
        <v>0</v>
      </c>
    </row>
    <row r="10" spans="2:20">
      <c r="B10" s="24">
        <v>0.10169404</v>
      </c>
      <c r="C10" s="37">
        <f t="shared" si="0"/>
        <v>35.006967959970908</v>
      </c>
      <c r="D10" s="37">
        <v>3.56</v>
      </c>
      <c r="E10" s="37"/>
      <c r="O10" s="37"/>
      <c r="P10" s="37"/>
      <c r="R10" s="24">
        <f>(B14)</f>
        <v>6.1610130000000485E-3</v>
      </c>
      <c r="S10" s="37">
        <f>(C14)</f>
        <v>0</v>
      </c>
      <c r="T10" s="37">
        <f>(D14)</f>
        <v>0</v>
      </c>
    </row>
    <row r="11" spans="2:20">
      <c r="B11" s="24">
        <v>-0.1</v>
      </c>
      <c r="C11" s="37">
        <f t="shared" si="0"/>
        <v>37.811999999999998</v>
      </c>
      <c r="D11" s="37">
        <v>-3.7812000000000001</v>
      </c>
      <c r="E11" s="37"/>
      <c r="O11" s="37"/>
      <c r="P11" s="37">
        <f>(SUM(P6:P9))</f>
        <v>11.846208050106377</v>
      </c>
      <c r="R11" s="24">
        <f>(B15)</f>
        <v>5.2777800000000652E-4</v>
      </c>
      <c r="S11" s="37">
        <f>(C15)</f>
        <v>0</v>
      </c>
      <c r="T11" s="37">
        <f>(D15)</f>
        <v>0</v>
      </c>
    </row>
    <row r="12" spans="2:20">
      <c r="B12" s="24">
        <v>2.0999999999999999E-3</v>
      </c>
      <c r="C12" s="37">
        <v>0</v>
      </c>
      <c r="D12" s="37">
        <v>0</v>
      </c>
      <c r="E12" s="37">
        <f>(B12*$J$3)</f>
        <v>4.2026706958357668E-2</v>
      </c>
      <c r="O12" s="37"/>
      <c r="P12" s="37"/>
      <c r="R12" s="24">
        <f>(B16+B23+B29)</f>
        <v>0.29042000000000001</v>
      </c>
      <c r="S12" s="37">
        <f>(T12/R12)</f>
        <v>8.4418015288203279</v>
      </c>
      <c r="T12" s="37">
        <f>(D16+D23+D29)</f>
        <v>2.4516679999999997</v>
      </c>
    </row>
    <row r="13" spans="2:20">
      <c r="B13" s="24">
        <f>(0.002039*2)</f>
        <v>4.078E-3</v>
      </c>
      <c r="C13" s="37">
        <v>0</v>
      </c>
      <c r="D13" s="37">
        <f>(C13*B13)</f>
        <v>0</v>
      </c>
      <c r="E13" t="s">
        <v>82</v>
      </c>
      <c r="M13" t="s">
        <v>10</v>
      </c>
      <c r="N13" t="s">
        <v>29</v>
      </c>
      <c r="O13" t="s">
        <v>1</v>
      </c>
      <c r="P13" t="s">
        <v>2</v>
      </c>
      <c r="R13" s="24">
        <f>(B17+B21+B24)</f>
        <v>3.9278</v>
      </c>
      <c r="S13" s="37">
        <f>(T13/R13)</f>
        <v>19.760407098121085</v>
      </c>
      <c r="T13" s="37">
        <f>(D17+11.97*B21+B24*12.17)</f>
        <v>77.614926999999994</v>
      </c>
    </row>
    <row r="14" spans="2:20">
      <c r="B14" s="24">
        <f>(0.60148-0.595318987)</f>
        <v>6.1610130000000485E-3</v>
      </c>
      <c r="C14" s="37">
        <v>0</v>
      </c>
      <c r="D14" s="37">
        <v>0</v>
      </c>
      <c r="E14" s="37">
        <f>(B14*$J$3)</f>
        <v>0.12329861329411149</v>
      </c>
      <c r="M14" t="s">
        <v>11</v>
      </c>
      <c r="N14" s="24">
        <f>(-B21)</f>
        <v>0.28089999999999998</v>
      </c>
      <c r="O14" s="37">
        <f>(C21)</f>
        <v>14.959772160911358</v>
      </c>
      <c r="P14" s="37">
        <f>(O14*N14)</f>
        <v>4.2022000000000004</v>
      </c>
      <c r="Q14" t="s">
        <v>12</v>
      </c>
      <c r="R14" s="24">
        <f>(B18)</f>
        <v>2.0892910000000001E-2</v>
      </c>
      <c r="S14" s="37">
        <f>(C18)</f>
        <v>0</v>
      </c>
      <c r="T14" s="37">
        <f>(D18)</f>
        <v>0</v>
      </c>
    </row>
    <row r="15" spans="2:20">
      <c r="B15" s="24">
        <f>(0.10209-0.101562222)</f>
        <v>5.2777800000000652E-4</v>
      </c>
      <c r="C15" s="37">
        <v>0</v>
      </c>
      <c r="D15" s="37">
        <v>0</v>
      </c>
      <c r="E15" s="37">
        <f>(B15*$J$3)</f>
        <v>1.0562272069080177E-2</v>
      </c>
      <c r="N15" s="24">
        <f>(-B24)</f>
        <v>0.31</v>
      </c>
      <c r="O15" s="37">
        <f>C24</f>
        <v>18.399999999999999</v>
      </c>
      <c r="P15" s="37">
        <f>-D24</f>
        <v>5.7039999999999997</v>
      </c>
      <c r="Q15" t="s">
        <v>12</v>
      </c>
      <c r="R15" s="24">
        <f>B19+B22</f>
        <v>1.29216</v>
      </c>
      <c r="S15" s="37">
        <f>(T15/R15)</f>
        <v>19.811676572560675</v>
      </c>
      <c r="T15" s="37">
        <f>(D19+12.6*B22)</f>
        <v>25.599855999999999</v>
      </c>
    </row>
    <row r="16" spans="2:20">
      <c r="B16" s="24">
        <v>0.49053000000000002</v>
      </c>
      <c r="C16" s="37">
        <f>(D16/B16)</f>
        <v>12.843251177298024</v>
      </c>
      <c r="D16" s="37">
        <v>6.3</v>
      </c>
      <c r="E16" s="37"/>
      <c r="N16" s="24">
        <f>(3*($R$13+N14+N15)/5-N14-N15)</f>
        <v>2.12032</v>
      </c>
      <c r="O16" s="37">
        <f>($S$13*Params!K10)</f>
        <v>43.472895615866392</v>
      </c>
      <c r="P16" s="37">
        <f>(O16*N16)</f>
        <v>92.176450032233831</v>
      </c>
      <c r="R16" s="24">
        <f>(B20)</f>
        <v>4.1474400000000002E-2</v>
      </c>
      <c r="S16" s="37">
        <f>(T16/R16)</f>
        <v>12.055629496749802</v>
      </c>
      <c r="T16" s="37">
        <f>(D20)</f>
        <v>0.5</v>
      </c>
    </row>
    <row r="17" spans="2:21">
      <c r="B17" s="24">
        <v>4.5186999999999999</v>
      </c>
      <c r="C17" s="37">
        <f>(D17/B17)</f>
        <v>18.755394250558791</v>
      </c>
      <c r="D17" s="37">
        <v>84.75</v>
      </c>
      <c r="E17" t="s">
        <v>10</v>
      </c>
      <c r="N17" s="24">
        <f>(($R$13+N14+N15)/5)</f>
        <v>0.90373999999999999</v>
      </c>
      <c r="O17" s="37">
        <f>($S$13*Params!K11)</f>
        <v>79.041628392484341</v>
      </c>
      <c r="P17" s="37">
        <f>(O17*N17)</f>
        <v>71.4330812434238</v>
      </c>
      <c r="R17" s="24">
        <f>(B21-B21)</f>
        <v>0</v>
      </c>
      <c r="S17" s="37">
        <v>0</v>
      </c>
      <c r="T17" s="37">
        <f>(14.952/1.25*-B21+D21)</f>
        <v>-0.84218656000000047</v>
      </c>
      <c r="U17" t="s">
        <v>17</v>
      </c>
    </row>
    <row r="18" spans="2:21">
      <c r="B18" s="24">
        <v>2.0892910000000001E-2</v>
      </c>
      <c r="C18" s="37">
        <v>0</v>
      </c>
      <c r="D18" s="37">
        <v>0</v>
      </c>
      <c r="E18" s="38">
        <f>B18*J3</f>
        <v>0.41812390765587648</v>
      </c>
      <c r="O18" s="37"/>
      <c r="P18" s="37"/>
      <c r="R18" s="24">
        <f>(B22-B22)</f>
        <v>0</v>
      </c>
      <c r="S18" s="37">
        <v>0</v>
      </c>
      <c r="T18" s="37">
        <f>(12.6*-B22+D22)</f>
        <v>-0.26295951999999989</v>
      </c>
      <c r="U18" t="s">
        <v>16</v>
      </c>
    </row>
    <row r="19" spans="2:21">
      <c r="B19" s="24">
        <v>1.3635999999999999</v>
      </c>
      <c r="C19" s="37">
        <f t="shared" ref="C19:C29" si="1">(D19/B19)</f>
        <v>19.433851569375186</v>
      </c>
      <c r="D19" s="37">
        <v>26.5</v>
      </c>
      <c r="E19" t="s">
        <v>15</v>
      </c>
      <c r="O19" s="37"/>
      <c r="P19" s="37">
        <f>(SUM(P14:P17))</f>
        <v>173.51573127565763</v>
      </c>
      <c r="R19" s="24">
        <f>(B24-B24)</f>
        <v>0</v>
      </c>
      <c r="S19" s="37">
        <v>0</v>
      </c>
      <c r="T19" s="37">
        <f>(12.17*-B24+D24)</f>
        <v>-1.9312999999999998</v>
      </c>
      <c r="U19" t="s">
        <v>83</v>
      </c>
    </row>
    <row r="20" spans="2:21">
      <c r="B20" s="24">
        <v>4.1474400000000002E-2</v>
      </c>
      <c r="C20" s="37">
        <f t="shared" si="1"/>
        <v>12.055629496749802</v>
      </c>
      <c r="D20" s="37">
        <v>0.5</v>
      </c>
      <c r="E20" s="37"/>
      <c r="O20" s="37"/>
      <c r="P20" s="37"/>
      <c r="R20" s="24">
        <f>(B26+B27)</f>
        <v>6.3844300000000034E-3</v>
      </c>
      <c r="S20" s="37">
        <v>0</v>
      </c>
      <c r="T20" s="37">
        <f>(D26+D27)</f>
        <v>-6.9880729999999947E-2</v>
      </c>
    </row>
    <row r="21" spans="2:21">
      <c r="B21" s="24">
        <v>-0.28089999999999998</v>
      </c>
      <c r="C21" s="37">
        <f t="shared" si="1"/>
        <v>14.959772160911358</v>
      </c>
      <c r="D21" s="37">
        <v>-4.2022000000000004</v>
      </c>
      <c r="E21" s="37"/>
      <c r="O21" s="37"/>
      <c r="P21" s="37"/>
      <c r="R21" s="24">
        <f>(B28+B25)</f>
        <v>1.1675579999999991E-2</v>
      </c>
      <c r="S21" s="37">
        <v>0</v>
      </c>
      <c r="T21" s="37">
        <f>(D28+D25)</f>
        <v>-0.12000000000000011</v>
      </c>
    </row>
    <row r="22" spans="2:21">
      <c r="B22" s="24">
        <v>-7.1440000000000003E-2</v>
      </c>
      <c r="C22" s="37">
        <f t="shared" si="1"/>
        <v>16.280844344904814</v>
      </c>
      <c r="D22" s="37">
        <v>-1.1631035199999999</v>
      </c>
      <c r="E22" s="37"/>
      <c r="M22" t="s">
        <v>15</v>
      </c>
      <c r="N22" t="s">
        <v>29</v>
      </c>
      <c r="O22" t="s">
        <v>1</v>
      </c>
      <c r="P22" t="s">
        <v>2</v>
      </c>
      <c r="S22" s="37"/>
      <c r="T22" s="37"/>
    </row>
    <row r="23" spans="2:21">
      <c r="B23" s="24">
        <v>-9.8110000000000003E-2</v>
      </c>
      <c r="C23" s="37">
        <f t="shared" si="1"/>
        <v>16.233513403322799</v>
      </c>
      <c r="D23" s="37">
        <v>-1.59267</v>
      </c>
      <c r="E23" s="37"/>
      <c r="M23" t="s">
        <v>11</v>
      </c>
      <c r="N23" s="24">
        <f>(-B22)</f>
        <v>7.1440000000000003E-2</v>
      </c>
      <c r="O23" s="37">
        <f>(C22)</f>
        <v>16.280844344904814</v>
      </c>
      <c r="P23" s="37">
        <f>(O23*N23)</f>
        <v>1.1631035199999999</v>
      </c>
      <c r="Q23" t="s">
        <v>12</v>
      </c>
      <c r="S23" s="37"/>
      <c r="T23" s="37"/>
    </row>
    <row r="24" spans="2:21">
      <c r="B24" s="24">
        <v>-0.31</v>
      </c>
      <c r="C24" s="37">
        <f t="shared" si="1"/>
        <v>18.399999999999999</v>
      </c>
      <c r="D24" s="37">
        <v>-5.7039999999999997</v>
      </c>
      <c r="E24" s="37"/>
      <c r="N24" s="24">
        <f>(2*($R$15+N23)/5-N23)</f>
        <v>0.47399999999999992</v>
      </c>
      <c r="O24" s="37">
        <f>($S$15*Params!K9)</f>
        <v>31.69868251609708</v>
      </c>
      <c r="P24" s="37">
        <f>(O24*N24)</f>
        <v>15.025175512630014</v>
      </c>
      <c r="S24" s="37"/>
      <c r="T24" s="37"/>
    </row>
    <row r="25" spans="2:21">
      <c r="B25" s="24">
        <v>-9.8095000000000002E-2</v>
      </c>
      <c r="C25" s="37">
        <f t="shared" si="1"/>
        <v>22.019470921045926</v>
      </c>
      <c r="D25" s="37">
        <v>-2.16</v>
      </c>
      <c r="E25" s="37"/>
      <c r="N25" s="24">
        <f>($R$15/5)</f>
        <v>0.258432</v>
      </c>
      <c r="O25" s="37">
        <f>($S$15*Params!K10)</f>
        <v>43.585688459633488</v>
      </c>
      <c r="P25" s="37">
        <f>(O25*N25)</f>
        <v>11.263936640000001</v>
      </c>
      <c r="S25" s="37"/>
      <c r="T25" s="37"/>
    </row>
    <row r="26" spans="2:21">
      <c r="B26" s="24">
        <f>(-0.05715)</f>
        <v>-5.7149999999999999E-2</v>
      </c>
      <c r="C26" s="37">
        <f t="shared" si="1"/>
        <v>22.045157130358703</v>
      </c>
      <c r="D26" s="37">
        <v>-1.2598807299999999</v>
      </c>
      <c r="E26" s="37"/>
      <c r="N26" s="24">
        <f>($R$15/5)</f>
        <v>0.258432</v>
      </c>
      <c r="O26" s="37">
        <f>($S$15*Params!K11)</f>
        <v>79.246706290242699</v>
      </c>
      <c r="P26" s="37">
        <f>(O26*N26)</f>
        <v>20.479884800000001</v>
      </c>
      <c r="S26" s="37"/>
      <c r="T26" s="37"/>
    </row>
    <row r="27" spans="2:21">
      <c r="B27" s="24">
        <v>6.3534430000000003E-2</v>
      </c>
      <c r="C27" s="37">
        <f t="shared" si="1"/>
        <v>18.730001984750629</v>
      </c>
      <c r="D27" s="37">
        <v>1.19</v>
      </c>
      <c r="E27" s="37"/>
      <c r="O27" s="37"/>
      <c r="P27" s="37"/>
      <c r="S27" s="37"/>
      <c r="T27" s="37"/>
    </row>
    <row r="28" spans="2:21">
      <c r="B28" s="24">
        <f>(0.02767109+0.08304053-0.00094104)</f>
        <v>0.10977057999999999</v>
      </c>
      <c r="C28" s="37">
        <f t="shared" si="1"/>
        <v>18.584214458919686</v>
      </c>
      <c r="D28" s="37">
        <v>2.04</v>
      </c>
      <c r="E28" s="37"/>
      <c r="O28" s="37"/>
      <c r="P28" s="37">
        <f>(SUM(P23:P26))</f>
        <v>47.932100472630012</v>
      </c>
      <c r="S28" s="37"/>
      <c r="T28" s="37"/>
    </row>
    <row r="29" spans="2:21">
      <c r="B29" s="24">
        <v>-0.10199999999999999</v>
      </c>
      <c r="C29" s="37">
        <f t="shared" si="1"/>
        <v>22.114333333333335</v>
      </c>
      <c r="D29" s="37">
        <f>(-2.275+0.019338)</f>
        <v>-2.2556620000000001</v>
      </c>
      <c r="E29" s="37"/>
      <c r="S29" s="37"/>
      <c r="T29" s="37"/>
    </row>
    <row r="30" spans="2:21">
      <c r="C30" s="37"/>
      <c r="D30" s="37"/>
      <c r="E30" s="37"/>
      <c r="S30" s="37"/>
      <c r="T30" s="37"/>
    </row>
    <row r="31" spans="2:21">
      <c r="B31" s="24">
        <f>(SUM(B5:B30))</f>
        <v>5.9024961410000003</v>
      </c>
      <c r="C31" s="37"/>
      <c r="D31" s="37">
        <f>(SUM(D5:D30))</f>
        <v>160.65189315000001</v>
      </c>
      <c r="E31" s="37"/>
      <c r="F31" t="s">
        <v>9</v>
      </c>
      <c r="G31" s="37">
        <f>(D31/B31)</f>
        <v>27.217619344818814</v>
      </c>
      <c r="S31" s="37"/>
      <c r="T31" s="37"/>
    </row>
    <row r="32" spans="2:21">
      <c r="S32" s="37"/>
      <c r="T32" s="37"/>
    </row>
    <row r="33" spans="18:20">
      <c r="R33" s="24">
        <f>(SUM(R5:R32))</f>
        <v>5.9024961410000003</v>
      </c>
      <c r="S33" s="37"/>
      <c r="T33" s="37">
        <f>(SUM(T5:T32))</f>
        <v>160.64953358999998</v>
      </c>
    </row>
  </sheetData>
  <conditionalFormatting sqref="C5">
    <cfRule type="cellIs" dxfId="95" priority="63" operator="lessThan">
      <formula>$J$3</formula>
    </cfRule>
    <cfRule type="cellIs" dxfId="94" priority="64" operator="greaterThan">
      <formula>$J$3</formula>
    </cfRule>
  </conditionalFormatting>
  <conditionalFormatting sqref="C8">
    <cfRule type="cellIs" dxfId="93" priority="61" operator="lessThan">
      <formula>$J$3</formula>
    </cfRule>
    <cfRule type="cellIs" dxfId="92" priority="62" operator="greaterThan">
      <formula>$J$3</formula>
    </cfRule>
  </conditionalFormatting>
  <conditionalFormatting sqref="C9:C10">
    <cfRule type="cellIs" dxfId="91" priority="59" operator="lessThan">
      <formula>$J$3</formula>
    </cfRule>
    <cfRule type="cellIs" dxfId="90" priority="60" operator="greaterThan">
      <formula>$J$3</formula>
    </cfRule>
  </conditionalFormatting>
  <conditionalFormatting sqref="C16:C17">
    <cfRule type="cellIs" dxfId="89" priority="57" operator="lessThan">
      <formula>$J$3</formula>
    </cfRule>
    <cfRule type="cellIs" dxfId="88" priority="58" operator="greaterThan">
      <formula>$J$3</formula>
    </cfRule>
    <cfRule type="cellIs" dxfId="87" priority="49" operator="lessThan">
      <formula>$J$3</formula>
    </cfRule>
    <cfRule type="cellIs" dxfId="86" priority="50" operator="greaterThan">
      <formula>$J$3</formula>
    </cfRule>
    <cfRule type="cellIs" dxfId="85" priority="47" operator="lessThan">
      <formula>$J$3</formula>
    </cfRule>
    <cfRule type="cellIs" dxfId="84" priority="48" operator="greaterThan">
      <formula>$J$3</formula>
    </cfRule>
  </conditionalFormatting>
  <conditionalFormatting sqref="C19:C20">
    <cfRule type="cellIs" dxfId="83" priority="55" operator="lessThan">
      <formula>$J$3</formula>
    </cfRule>
    <cfRule type="cellIs" dxfId="82" priority="56" operator="greaterThan">
      <formula>$J$3</formula>
    </cfRule>
    <cfRule type="cellIs" dxfId="81" priority="45" operator="lessThan">
      <formula>$J$3</formula>
    </cfRule>
    <cfRule type="cellIs" dxfId="80" priority="46" operator="greaterThan">
      <formula>$J$3</formula>
    </cfRule>
    <cfRule type="cellIs" dxfId="79" priority="43" operator="lessThan">
      <formula>$J$3</formula>
    </cfRule>
    <cfRule type="cellIs" dxfId="78" priority="44" operator="greaterThan">
      <formula>$J$3</formula>
    </cfRule>
    <cfRule type="cellIs" dxfId="77" priority="41" operator="lessThan">
      <formula>$J$3</formula>
    </cfRule>
    <cfRule type="cellIs" dxfId="76" priority="42" operator="greaterThan">
      <formula>$J$3</formula>
    </cfRule>
  </conditionalFormatting>
  <conditionalFormatting sqref="C27:C28">
    <cfRule type="cellIs" dxfId="75" priority="53" operator="lessThan">
      <formula>$J$3</formula>
    </cfRule>
    <cfRule type="cellIs" dxfId="74" priority="54" operator="greaterThan">
      <formula>$J$3</formula>
    </cfRule>
    <cfRule type="cellIs" dxfId="73" priority="39" operator="lessThan">
      <formula>$J$3</formula>
    </cfRule>
    <cfRule type="cellIs" dxfId="72" priority="40" operator="greaterThan">
      <formula>$J$3</formula>
    </cfRule>
    <cfRule type="cellIs" dxfId="71" priority="37" operator="lessThan">
      <formula>$J$3</formula>
    </cfRule>
    <cfRule type="cellIs" dxfId="70" priority="38" operator="greaterThan">
      <formula>$J$3</formula>
    </cfRule>
    <cfRule type="cellIs" dxfId="69" priority="35" operator="lessThan">
      <formula>$J$3</formula>
    </cfRule>
    <cfRule type="cellIs" dxfId="68" priority="36" operator="greaterThan">
      <formula>$J$3</formula>
    </cfRule>
    <cfRule type="cellIs" dxfId="67" priority="33" operator="lessThan">
      <formula>$J$3</formula>
    </cfRule>
    <cfRule type="cellIs" dxfId="66" priority="34" operator="greaterThan">
      <formula>$J$3</formula>
    </cfRule>
  </conditionalFormatting>
  <conditionalFormatting sqref="C8:C10">
    <cfRule type="cellIs" dxfId="65" priority="51" operator="lessThan">
      <formula>$J$3</formula>
    </cfRule>
    <cfRule type="cellIs" dxfId="64" priority="52" operator="greaterThan">
      <formula>$J$3</formula>
    </cfRule>
  </conditionalFormatting>
  <conditionalFormatting sqref="S5">
    <cfRule type="cellIs" dxfId="63" priority="31" operator="lessThan">
      <formula>$J$3</formula>
    </cfRule>
    <cfRule type="cellIs" dxfId="62" priority="32" operator="greaterThan">
      <formula>$J$3</formula>
    </cfRule>
  </conditionalFormatting>
  <conditionalFormatting sqref="S12:S13">
    <cfRule type="cellIs" dxfId="61" priority="29" operator="lessThan">
      <formula>$J$3</formula>
    </cfRule>
    <cfRule type="cellIs" dxfId="60" priority="30" operator="greaterThan">
      <formula>$J$3</formula>
    </cfRule>
    <cfRule type="cellIs" dxfId="59" priority="27" operator="lessThan">
      <formula>$J$3</formula>
    </cfRule>
    <cfRule type="cellIs" dxfId="58" priority="28" operator="greaterThan">
      <formula>$J$3</formula>
    </cfRule>
  </conditionalFormatting>
  <conditionalFormatting sqref="S15:S16">
    <cfRule type="cellIs" dxfId="57" priority="25" operator="lessThan">
      <formula>$J$3</formula>
    </cfRule>
    <cfRule type="cellIs" dxfId="56" priority="26" operator="greaterThan">
      <formula>$J$3</formula>
    </cfRule>
    <cfRule type="cellIs" dxfId="55" priority="23" operator="lessThan">
      <formula>$J$3</formula>
    </cfRule>
    <cfRule type="cellIs" dxfId="54" priority="24" operator="greaterThan">
      <formula>$J$3</formula>
    </cfRule>
  </conditionalFormatting>
  <conditionalFormatting sqref="O8:O9">
    <cfRule type="cellIs" dxfId="53" priority="21" operator="lessThan">
      <formula>$J$3</formula>
    </cfRule>
    <cfRule type="cellIs" dxfId="52" priority="22" operator="greaterThan">
      <formula>$J$3</formula>
    </cfRule>
    <cfRule type="cellIs" dxfId="51" priority="19" operator="lessThan">
      <formula>$J$3</formula>
    </cfRule>
    <cfRule type="cellIs" dxfId="50" priority="20" operator="greaterThan">
      <formula>$J$3</formula>
    </cfRule>
  </conditionalFormatting>
  <conditionalFormatting sqref="O16:O17">
    <cfRule type="cellIs" dxfId="49" priority="17" operator="lessThan">
      <formula>$J$3</formula>
    </cfRule>
    <cfRule type="cellIs" dxfId="48" priority="18" operator="greaterThan">
      <formula>$J$3</formula>
    </cfRule>
    <cfRule type="cellIs" dxfId="47" priority="15" operator="lessThan">
      <formula>$J$3</formula>
    </cfRule>
    <cfRule type="cellIs" dxfId="46" priority="16" operator="greaterThan">
      <formula>$J$3</formula>
    </cfRule>
  </conditionalFormatting>
  <conditionalFormatting sqref="O24:O26">
    <cfRule type="cellIs" dxfId="45" priority="13" operator="lessThan">
      <formula>$J$3</formula>
    </cfRule>
    <cfRule type="cellIs" dxfId="44" priority="14" operator="greaterThan">
      <formula>$J$3</formula>
    </cfRule>
    <cfRule type="cellIs" dxfId="43" priority="11" operator="lessThan">
      <formula>$J$3</formula>
    </cfRule>
    <cfRule type="cellIs" dxfId="42" priority="12" operator="greaterThan">
      <formula>$J$3</formula>
    </cfRule>
  </conditionalFormatting>
  <conditionalFormatting sqref="O3">
    <cfRule type="cellIs" dxfId="41" priority="9" operator="greaterThan">
      <formula>$J$3</formula>
    </cfRule>
    <cfRule type="cellIs" dxfId="40" priority="10" operator="lessThan">
      <formula>$J$3</formula>
    </cfRule>
  </conditionalFormatting>
  <conditionalFormatting sqref="G31">
    <cfRule type="cellIs" dxfId="39" priority="7" operator="lessThan">
      <formula>$J$3</formula>
    </cfRule>
    <cfRule type="cellIs" dxfId="38" priority="8" operator="greaterThan">
      <formula>$J$3</formula>
    </cfRule>
    <cfRule type="cellIs" dxfId="37" priority="5" operator="lessThan">
      <formula>$J$3</formula>
    </cfRule>
    <cfRule type="cellIs" dxfId="36" priority="6" operator="greaterThan">
      <formula>$J$3</formula>
    </cfRule>
    <cfRule type="cellIs" dxfId="35" priority="3" operator="lessThan">
      <formula>$J$3</formula>
    </cfRule>
    <cfRule type="cellIs" dxfId="34" priority="4" operator="greaterThan">
      <formula>$J$3</formula>
    </cfRule>
    <cfRule type="cellIs" dxfId="33" priority="1" operator="lessThan">
      <formula>$J$3</formula>
    </cfRule>
    <cfRule type="cellIs" dxfId="32" priority="2" operator="greaterThan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N16" sqref="N16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5">
        <v>7.788805750781215E-2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7">
        <f>(B13*J3)</f>
        <v>0.71751371484887816</v>
      </c>
      <c r="K4" s="4">
        <f>(J4/D13-1)</f>
        <v>0.43502742969775632</v>
      </c>
    </row>
    <row r="5" spans="2:16">
      <c r="B5" s="19">
        <v>9.10125837</v>
      </c>
      <c r="C5" s="35">
        <f>(D5/B5)</f>
        <v>5.4937458060538499E-2</v>
      </c>
      <c r="D5" s="37">
        <v>0.5</v>
      </c>
      <c r="E5" s="37"/>
      <c r="G5" s="37"/>
      <c r="N5" t="s">
        <v>29</v>
      </c>
      <c r="O5" t="s">
        <v>1</v>
      </c>
      <c r="P5" t="s">
        <v>2</v>
      </c>
    </row>
    <row r="6" spans="2:16">
      <c r="B6" s="20">
        <v>0.11085627000000001</v>
      </c>
      <c r="C6" s="39">
        <v>0</v>
      </c>
      <c r="D6" s="26">
        <f>(B6*C6)</f>
        <v>0</v>
      </c>
      <c r="E6" s="37">
        <f>(B6*J3)</f>
        <v>8.6343795328615511E-3</v>
      </c>
      <c r="G6" s="37"/>
      <c r="M6" t="s">
        <v>11</v>
      </c>
      <c r="N6" s="19">
        <f>($B$13/5)</f>
        <v>1.842422928</v>
      </c>
      <c r="O6" s="35">
        <f>($C$5*Params!K8)</f>
        <v>7.1418695478700056E-2</v>
      </c>
      <c r="P6" s="37">
        <f>(O6*N6)</f>
        <v>0.13158344203780692</v>
      </c>
    </row>
    <row r="7" spans="2:16">
      <c r="C7" s="37"/>
      <c r="D7" s="37"/>
      <c r="E7" s="37"/>
      <c r="G7" s="37"/>
      <c r="N7" s="19">
        <f>($B$13/5)</f>
        <v>1.842422928</v>
      </c>
      <c r="O7" s="35">
        <f>($C$5*Params!K9)</f>
        <v>8.7899932896861599E-2</v>
      </c>
      <c r="P7" s="37">
        <f>(O7*N7)</f>
        <v>0.16194885173883927</v>
      </c>
    </row>
    <row r="8" spans="2:16">
      <c r="C8" s="37"/>
      <c r="D8" s="37"/>
      <c r="E8" s="37"/>
      <c r="G8" s="37"/>
      <c r="N8" s="19">
        <f>($B$13/5)</f>
        <v>1.842422928</v>
      </c>
      <c r="O8" s="35">
        <f>($C$5*Params!K10)</f>
        <v>0.12086240773318471</v>
      </c>
      <c r="P8" s="37">
        <f>(O8*N8)</f>
        <v>0.22267967114090401</v>
      </c>
    </row>
    <row r="9" spans="2:16">
      <c r="C9" s="37"/>
      <c r="D9" s="37"/>
      <c r="E9" s="37"/>
      <c r="G9" s="37"/>
      <c r="N9" s="19">
        <f>($B$13/5)</f>
        <v>1.842422928</v>
      </c>
      <c r="O9" s="35">
        <f>($C$5*Params!K11)</f>
        <v>0.219749832242154</v>
      </c>
      <c r="P9" s="37">
        <f>(O9*N9)</f>
        <v>0.40487212934709815</v>
      </c>
    </row>
    <row r="10" spans="2:16">
      <c r="C10" s="37"/>
      <c r="D10" s="37"/>
      <c r="E10" s="37"/>
      <c r="G10" s="37"/>
      <c r="O10" s="37"/>
      <c r="P10" s="37"/>
    </row>
    <row r="11" spans="2:16">
      <c r="C11" s="37"/>
      <c r="D11" s="37"/>
      <c r="E11" s="37"/>
      <c r="G11" s="37"/>
      <c r="O11" s="37"/>
      <c r="P11" s="37">
        <f>(SUM(P6:P9))</f>
        <v>0.92108409426464832</v>
      </c>
    </row>
    <row r="12" spans="2:16">
      <c r="C12" s="37"/>
      <c r="D12" s="37"/>
      <c r="E12" s="37"/>
      <c r="F12" t="s">
        <v>9</v>
      </c>
      <c r="G12" s="37">
        <f>(D13/B13)</f>
        <v>5.4276354511367655E-2</v>
      </c>
    </row>
    <row r="13" spans="2:16">
      <c r="B13">
        <f>(SUM(B5:B12))</f>
        <v>9.2121146399999994</v>
      </c>
      <c r="C13" s="37"/>
      <c r="D13" s="37">
        <f>(SUM(D5:D12))</f>
        <v>0.5</v>
      </c>
      <c r="E13" s="37"/>
      <c r="G13" s="37"/>
    </row>
  </sheetData>
  <conditionalFormatting sqref="C5">
    <cfRule type="cellIs" dxfId="31" priority="7" operator="lessThan">
      <formula>$J$3</formula>
    </cfRule>
    <cfRule type="cellIs" dxfId="30" priority="8" operator="greaterThan">
      <formula>$J$3</formula>
    </cfRule>
  </conditionalFormatting>
  <conditionalFormatting sqref="O6:O9">
    <cfRule type="cellIs" dxfId="29" priority="5" operator="lessThan">
      <formula>$J$3</formula>
    </cfRule>
    <cfRule type="cellIs" dxfId="28" priority="6" operator="greaterThan">
      <formula>$J$3</formula>
    </cfRule>
    <cfRule type="cellIs" dxfId="27" priority="1" operator="lessThan">
      <formula>$J$3</formula>
    </cfRule>
    <cfRule type="cellIs" dxfId="26" priority="2" operator="greaterThan">
      <formula>$J$3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>
  <dimension ref="B2:Y224"/>
  <sheetViews>
    <sheetView zoomScale="85" zoomScaleNormal="85" workbookViewId="0">
      <selection activeCell="Y3" sqref="Y3"/>
    </sheetView>
  </sheetViews>
  <sheetFormatPr baseColWidth="10" defaultColWidth="9.140625" defaultRowHeight="15"/>
  <cols>
    <col min="2" max="2" width="10.7109375" style="3" bestFit="1" customWidth="1"/>
    <col min="3" max="3" width="12.42578125" style="14" bestFit="1" customWidth="1"/>
    <col min="4" max="4" width="10.28515625" style="14" bestFit="1" customWidth="1"/>
    <col min="5" max="5" width="12.28515625" style="14" bestFit="1" customWidth="1"/>
    <col min="24" max="24" width="13.85546875" style="14" bestFit="1" customWidth="1"/>
  </cols>
  <sheetData>
    <row r="2" spans="13:25">
      <c r="M2" t="s">
        <v>23</v>
      </c>
      <c r="N2" t="s">
        <v>24</v>
      </c>
      <c r="X2" t="s">
        <v>25</v>
      </c>
      <c r="Y2" s="19">
        <f>(C224)</f>
        <v>64.45</v>
      </c>
    </row>
    <row r="3" spans="13:25">
      <c r="M3">
        <v>51</v>
      </c>
      <c r="N3">
        <f>(1/213)</f>
        <v>4.6948356807511738E-3</v>
      </c>
    </row>
    <row r="31" spans="2:5">
      <c r="C31" t="s">
        <v>26</v>
      </c>
      <c r="D31" t="s">
        <v>27</v>
      </c>
      <c r="E31" t="s">
        <v>28</v>
      </c>
    </row>
    <row r="32" spans="2:5">
      <c r="B32" s="27">
        <v>44537</v>
      </c>
      <c r="C32" s="19">
        <v>235</v>
      </c>
      <c r="D32" s="19">
        <f>4.6*M3</f>
        <v>234.6</v>
      </c>
      <c r="E32" s="19">
        <f>50000*N3</f>
        <v>234.74178403755869</v>
      </c>
    </row>
    <row r="33" spans="2:5">
      <c r="B33" s="27">
        <v>44538</v>
      </c>
      <c r="C33" s="19">
        <v>272.32</v>
      </c>
      <c r="D33" s="19">
        <f>5.2*M3</f>
        <v>265.2</v>
      </c>
      <c r="E33" s="19">
        <f>50500*N3</f>
        <v>237.08920187793427</v>
      </c>
    </row>
    <row r="34" spans="2:5">
      <c r="B34" s="27">
        <v>44539</v>
      </c>
      <c r="C34" s="19">
        <v>259.27999999999997</v>
      </c>
      <c r="D34" s="19">
        <f>4.8*M3</f>
        <v>244.79999999999998</v>
      </c>
      <c r="E34" s="19">
        <f>47800*N3</f>
        <v>224.41314553990611</v>
      </c>
    </row>
    <row r="35" spans="2:5">
      <c r="B35" s="27">
        <v>44540</v>
      </c>
      <c r="C35" s="19">
        <v>255</v>
      </c>
      <c r="D35" s="19">
        <f>4.68*M3</f>
        <v>238.67999999999998</v>
      </c>
      <c r="E35" s="19">
        <f>48150*N3</f>
        <v>226.05633802816902</v>
      </c>
    </row>
    <row r="36" spans="2:5">
      <c r="B36" s="27">
        <v>44541</v>
      </c>
      <c r="C36" s="19">
        <v>251.56</v>
      </c>
      <c r="D36" s="19">
        <f>4.55*M3</f>
        <v>232.04999999999998</v>
      </c>
      <c r="E36" s="19">
        <f>48500*N3</f>
        <v>227.69953051643193</v>
      </c>
    </row>
    <row r="37" spans="2:5">
      <c r="B37" s="27">
        <v>44542</v>
      </c>
      <c r="C37" s="19">
        <v>251.63</v>
      </c>
      <c r="D37" s="19">
        <f>4.49*M3</f>
        <v>228.99</v>
      </c>
      <c r="E37" s="19">
        <f>50200*N3</f>
        <v>235.68075117370893</v>
      </c>
    </row>
    <row r="38" spans="2:5">
      <c r="B38" s="27">
        <v>44543</v>
      </c>
      <c r="C38" s="19">
        <v>216.13</v>
      </c>
      <c r="D38" s="19">
        <f>3.6*M3</f>
        <v>183.6</v>
      </c>
      <c r="E38" s="19">
        <f>47600*N3</f>
        <v>223.47417840375587</v>
      </c>
    </row>
    <row r="39" spans="2:5">
      <c r="B39" s="27">
        <v>44544</v>
      </c>
      <c r="C39" s="19">
        <v>232.52</v>
      </c>
      <c r="D39" s="19">
        <f>4.05*M3</f>
        <v>206.54999999999998</v>
      </c>
      <c r="E39" s="19">
        <f>46660*N3</f>
        <v>219.06103286384976</v>
      </c>
    </row>
    <row r="40" spans="2:5">
      <c r="B40" s="27">
        <v>44545</v>
      </c>
      <c r="C40" s="19">
        <v>232.35</v>
      </c>
      <c r="D40" s="19">
        <f>4*M3</f>
        <v>204</v>
      </c>
      <c r="E40" s="19">
        <f>47250*N3</f>
        <v>221.83098591549296</v>
      </c>
    </row>
    <row r="41" spans="2:5">
      <c r="B41" s="27">
        <v>44546</v>
      </c>
      <c r="C41" s="19">
        <v>232.2</v>
      </c>
      <c r="D41" s="19">
        <f>4*M3</f>
        <v>204</v>
      </c>
      <c r="E41" s="19">
        <f>47830*N3</f>
        <v>224.55399061032864</v>
      </c>
    </row>
    <row r="42" spans="2:5">
      <c r="B42" s="27">
        <v>44547</v>
      </c>
      <c r="C42" s="19">
        <v>228</v>
      </c>
      <c r="D42" s="19">
        <f>3.8*M3</f>
        <v>193.79999999999998</v>
      </c>
      <c r="E42" s="19">
        <f>47000*N3</f>
        <v>220.65727699530518</v>
      </c>
    </row>
    <row r="43" spans="2:5">
      <c r="B43" s="27">
        <v>44548</v>
      </c>
      <c r="C43" s="19">
        <v>224.35</v>
      </c>
      <c r="D43" s="19">
        <f>3.75*M3</f>
        <v>191.25</v>
      </c>
      <c r="E43" s="19">
        <f>47000*N3</f>
        <v>220.65727699530518</v>
      </c>
    </row>
    <row r="44" spans="2:5">
      <c r="B44" s="27">
        <v>44549</v>
      </c>
      <c r="C44" s="19">
        <v>219.73</v>
      </c>
      <c r="D44" s="19">
        <f>3.62*M3</f>
        <v>184.62</v>
      </c>
      <c r="E44" s="19">
        <f>47135*N3</f>
        <v>221.29107981220659</v>
      </c>
    </row>
    <row r="45" spans="2:5">
      <c r="B45" s="27">
        <v>44550</v>
      </c>
      <c r="C45" s="19">
        <v>210.32</v>
      </c>
      <c r="D45" s="19">
        <f>3.41*M3</f>
        <v>173.91</v>
      </c>
      <c r="E45" s="19">
        <f>45600*N3</f>
        <v>214.08450704225353</v>
      </c>
    </row>
    <row r="46" spans="2:5">
      <c r="B46" s="27">
        <v>44551</v>
      </c>
      <c r="C46" s="19">
        <v>216</v>
      </c>
      <c r="D46" s="19">
        <f>3.48*M3</f>
        <v>177.48</v>
      </c>
      <c r="E46" s="19">
        <f>47300*N3</f>
        <v>222.06572769953053</v>
      </c>
    </row>
    <row r="47" spans="2:5">
      <c r="B47" s="27">
        <v>44552</v>
      </c>
      <c r="C47" s="19">
        <v>222.58</v>
      </c>
      <c r="D47" s="19">
        <f>3.55*M3</f>
        <v>181.04999999999998</v>
      </c>
      <c r="E47" s="19">
        <f>49000*N3</f>
        <v>230.04694835680752</v>
      </c>
    </row>
    <row r="48" spans="2:5">
      <c r="B48" s="27">
        <v>44553</v>
      </c>
      <c r="C48" s="19">
        <v>223.95</v>
      </c>
      <c r="D48" s="19">
        <f>3.38*M3</f>
        <v>172.38</v>
      </c>
      <c r="E48" s="19">
        <f>51000*N3</f>
        <v>239.43661971830986</v>
      </c>
    </row>
    <row r="49" spans="2:5">
      <c r="B49" s="27">
        <v>44554</v>
      </c>
      <c r="C49" s="19">
        <v>233.46</v>
      </c>
      <c r="D49" s="19">
        <f>3.44*M3</f>
        <v>175.44</v>
      </c>
      <c r="E49" s="19">
        <f>51100*N3</f>
        <v>239.90610328638499</v>
      </c>
    </row>
    <row r="50" spans="2:5">
      <c r="B50" s="27">
        <v>44555</v>
      </c>
      <c r="C50" s="19">
        <v>231.2</v>
      </c>
      <c r="D50" s="19">
        <f>3.44*M3</f>
        <v>175.44</v>
      </c>
      <c r="E50" s="19">
        <f>50600*N3</f>
        <v>237.55868544600941</v>
      </c>
    </row>
    <row r="51" spans="2:5">
      <c r="B51" s="27">
        <v>44556</v>
      </c>
      <c r="C51" s="19">
        <v>233</v>
      </c>
      <c r="D51" s="19">
        <f>3.37*M3</f>
        <v>171.87</v>
      </c>
      <c r="E51" s="19">
        <f>50000*N3</f>
        <v>234.74178403755869</v>
      </c>
    </row>
    <row r="52" spans="2:5">
      <c r="B52" s="27">
        <v>44557</v>
      </c>
      <c r="C52" s="19">
        <v>234.81</v>
      </c>
      <c r="D52" s="19">
        <f>3.3*M3</f>
        <v>168.29999999999998</v>
      </c>
      <c r="E52" s="19">
        <f>50700*N3</f>
        <v>238.02816901408451</v>
      </c>
    </row>
    <row r="53" spans="2:5">
      <c r="B53" s="27">
        <v>44558</v>
      </c>
      <c r="C53" s="19">
        <v>227.26</v>
      </c>
      <c r="D53" s="19">
        <f>3.4*M3</f>
        <v>173.4</v>
      </c>
      <c r="E53" s="19">
        <f>48000*N3</f>
        <v>225.35211267605635</v>
      </c>
    </row>
    <row r="54" spans="2:5">
      <c r="B54" s="27">
        <v>44559</v>
      </c>
      <c r="C54" s="19">
        <v>224.71</v>
      </c>
      <c r="D54" s="19">
        <f>3.31*M3</f>
        <v>168.81</v>
      </c>
      <c r="E54" s="19">
        <f>47133*N3</f>
        <v>221.28169014084509</v>
      </c>
    </row>
    <row r="55" spans="2:5">
      <c r="B55" s="27">
        <v>44560</v>
      </c>
      <c r="C55" s="19">
        <v>223.77</v>
      </c>
      <c r="D55" s="19">
        <f>3.32*M3</f>
        <v>169.32</v>
      </c>
      <c r="E55" s="19">
        <f>47500*N3</f>
        <v>223.00469483568077</v>
      </c>
    </row>
    <row r="56" spans="2:5">
      <c r="B56" s="27">
        <v>44561</v>
      </c>
      <c r="C56" s="19">
        <v>224.5</v>
      </c>
      <c r="D56" s="19">
        <f>3.33*M3</f>
        <v>169.83</v>
      </c>
      <c r="E56" s="19">
        <f>47350*N3</f>
        <v>222.30046948356809</v>
      </c>
    </row>
    <row r="57" spans="2:5">
      <c r="B57" s="27">
        <v>44562</v>
      </c>
      <c r="C57" s="19">
        <v>225.2</v>
      </c>
      <c r="D57" s="19">
        <f>3.34*M3</f>
        <v>170.34</v>
      </c>
      <c r="E57" s="19">
        <f>47120*N3</f>
        <v>221.2206572769953</v>
      </c>
    </row>
    <row r="58" spans="2:5">
      <c r="B58" s="27">
        <v>44563</v>
      </c>
      <c r="C58" s="19">
        <v>225.91</v>
      </c>
      <c r="D58" s="19">
        <f>3.35*M3</f>
        <v>170.85</v>
      </c>
      <c r="E58" s="19">
        <f>47000*N3</f>
        <v>220.65727699530518</v>
      </c>
    </row>
    <row r="59" spans="2:5">
      <c r="B59" s="27">
        <v>44564</v>
      </c>
      <c r="C59" s="19">
        <f>230</f>
        <v>230</v>
      </c>
      <c r="D59" s="19">
        <f>3.45*M3</f>
        <v>175.95000000000002</v>
      </c>
      <c r="E59" s="19">
        <f>46750*N3</f>
        <v>219.48356807511738</v>
      </c>
    </row>
    <row r="60" spans="2:5">
      <c r="B60" s="27">
        <v>44565</v>
      </c>
      <c r="C60" s="19">
        <v>234.54</v>
      </c>
      <c r="D60" s="19">
        <f>3.56*M3</f>
        <v>181.56</v>
      </c>
      <c r="E60" s="19">
        <f>46500*N3</f>
        <v>218.30985915492957</v>
      </c>
    </row>
    <row r="61" spans="2:5">
      <c r="B61" s="27">
        <v>44566</v>
      </c>
      <c r="C61" s="19">
        <v>231.39</v>
      </c>
      <c r="D61" s="19">
        <f>3.46*M3</f>
        <v>176.46</v>
      </c>
      <c r="E61" s="19">
        <f>45800*N3</f>
        <v>215.02347417840377</v>
      </c>
    </row>
    <row r="62" spans="2:5">
      <c r="B62" s="27">
        <v>44567</v>
      </c>
      <c r="C62" s="19">
        <v>207</v>
      </c>
      <c r="D62" s="19">
        <f>3.05*M3</f>
        <v>155.54999999999998</v>
      </c>
      <c r="E62" s="19">
        <f>43500*$N$3</f>
        <v>204.22535211267606</v>
      </c>
    </row>
    <row r="63" spans="2:5">
      <c r="B63" s="27">
        <v>44568</v>
      </c>
      <c r="C63" s="19">
        <v>200</v>
      </c>
      <c r="D63" s="19">
        <f>2.9*M3</f>
        <v>147.9</v>
      </c>
      <c r="E63" s="19">
        <f>42900*$N$3</f>
        <v>201.40845070422534</v>
      </c>
    </row>
    <row r="64" spans="2:5">
      <c r="B64" s="27">
        <v>44569</v>
      </c>
      <c r="C64" s="19">
        <v>193</v>
      </c>
      <c r="D64" s="19">
        <f>2.8*M3</f>
        <v>142.79999999999998</v>
      </c>
      <c r="E64" s="19">
        <f>42300*$N$3</f>
        <v>198.59154929577466</v>
      </c>
    </row>
    <row r="65" spans="2:5">
      <c r="B65" s="27">
        <v>44570</v>
      </c>
      <c r="C65" s="19">
        <v>189</v>
      </c>
      <c r="D65" s="19">
        <f>2.69*M3</f>
        <v>137.19</v>
      </c>
      <c r="E65" s="19">
        <f>41800*N3</f>
        <v>196.24413145539907</v>
      </c>
    </row>
    <row r="66" spans="2:5">
      <c r="B66" s="27">
        <v>44571</v>
      </c>
      <c r="C66" s="19">
        <v>191</v>
      </c>
      <c r="D66" s="19">
        <f>2.7*M3</f>
        <v>137.70000000000002</v>
      </c>
      <c r="E66" s="19">
        <f>42200*N3</f>
        <v>198.12206572769952</v>
      </c>
    </row>
    <row r="67" spans="2:5">
      <c r="B67" s="27">
        <v>44572</v>
      </c>
      <c r="C67" s="19">
        <v>196</v>
      </c>
      <c r="D67" s="19">
        <f>2.71*M3</f>
        <v>138.21</v>
      </c>
      <c r="E67" s="19">
        <f>42800*N3</f>
        <v>200.93896713615024</v>
      </c>
    </row>
    <row r="68" spans="2:5">
      <c r="B68" s="27">
        <v>44573</v>
      </c>
      <c r="C68" s="19">
        <v>207.3</v>
      </c>
      <c r="D68" s="19">
        <f>2.95*M3</f>
        <v>150.45000000000002</v>
      </c>
      <c r="E68" s="19">
        <f>43600*N3</f>
        <v>204.69483568075117</v>
      </c>
    </row>
    <row r="69" spans="2:5">
      <c r="B69" s="27">
        <v>44574</v>
      </c>
      <c r="C69" s="19">
        <v>206.2</v>
      </c>
      <c r="D69" s="19">
        <f>2.92*M3</f>
        <v>148.91999999999999</v>
      </c>
      <c r="E69" s="19">
        <f>42840*N3</f>
        <v>201.12676056338029</v>
      </c>
    </row>
    <row r="70" spans="2:5">
      <c r="B70" s="27">
        <v>44575</v>
      </c>
      <c r="C70" s="19">
        <v>207.73</v>
      </c>
      <c r="D70" s="19">
        <f>2.97*M3</f>
        <v>151.47</v>
      </c>
      <c r="E70" s="19">
        <f>43000*N3</f>
        <v>201.87793427230048</v>
      </c>
    </row>
    <row r="71" spans="2:5">
      <c r="B71" s="27">
        <v>44576</v>
      </c>
      <c r="C71" s="19">
        <v>210.75</v>
      </c>
      <c r="D71" s="19">
        <f>3.01*M3</f>
        <v>153.51</v>
      </c>
      <c r="E71" s="19">
        <f>43330*N3</f>
        <v>203.42723004694835</v>
      </c>
    </row>
    <row r="72" spans="2:5">
      <c r="B72" s="27">
        <v>44577</v>
      </c>
      <c r="C72" s="19">
        <v>212.98</v>
      </c>
      <c r="D72" s="19">
        <f>3.07*M3</f>
        <v>156.57</v>
      </c>
      <c r="E72" s="19">
        <f>43000*N3</f>
        <v>201.87793427230048</v>
      </c>
    </row>
    <row r="73" spans="2:5">
      <c r="B73" s="27">
        <v>44578</v>
      </c>
      <c r="C73" s="19">
        <v>209</v>
      </c>
      <c r="D73" s="19">
        <f>3.06*M3</f>
        <v>156.06</v>
      </c>
      <c r="E73" s="19">
        <f>42100*N3</f>
        <v>197.65258215962442</v>
      </c>
    </row>
    <row r="74" spans="2:5">
      <c r="B74" s="27">
        <v>44579</v>
      </c>
      <c r="C74" s="19">
        <v>208.18</v>
      </c>
      <c r="D74" s="19">
        <f>3.01*M3</f>
        <v>153.51</v>
      </c>
      <c r="E74" s="19">
        <f>42100*$N$3</f>
        <v>197.65258215962442</v>
      </c>
    </row>
    <row r="75" spans="2:5">
      <c r="B75" s="27">
        <v>44580</v>
      </c>
      <c r="C75" s="19">
        <v>210</v>
      </c>
      <c r="D75" s="19">
        <f>3.03*M3</f>
        <v>154.53</v>
      </c>
      <c r="E75" s="19">
        <f>42100*$N$3</f>
        <v>197.65258215962442</v>
      </c>
    </row>
    <row r="76" spans="2:5">
      <c r="B76" s="27">
        <v>44581</v>
      </c>
      <c r="C76" s="19">
        <v>213</v>
      </c>
      <c r="D76" s="19">
        <f>3.06*M3</f>
        <v>156.06</v>
      </c>
      <c r="E76" s="19">
        <f>43200*N3</f>
        <v>202.81690140845072</v>
      </c>
    </row>
    <row r="77" spans="2:5">
      <c r="B77" s="27">
        <v>44582</v>
      </c>
      <c r="C77" s="19">
        <v>181.65</v>
      </c>
      <c r="D77" s="19">
        <f>2.65*M3</f>
        <v>135.15</v>
      </c>
      <c r="E77" s="19">
        <f>37000*N3</f>
        <v>173.70892018779344</v>
      </c>
    </row>
    <row r="78" spans="2:5">
      <c r="B78" s="27">
        <v>44583</v>
      </c>
      <c r="C78" s="19">
        <v>175</v>
      </c>
      <c r="D78" s="19">
        <f>2.55*M3</f>
        <v>130.04999999999998</v>
      </c>
      <c r="E78" s="19">
        <f>36000*N3</f>
        <v>169.01408450704227</v>
      </c>
    </row>
    <row r="79" spans="2:5">
      <c r="B79" s="27">
        <v>44584</v>
      </c>
      <c r="C79" s="19">
        <v>167</v>
      </c>
      <c r="D79" s="19">
        <f>2.4*M3</f>
        <v>122.39999999999999</v>
      </c>
      <c r="E79" s="19">
        <f>35200*N3</f>
        <v>165.25821596244131</v>
      </c>
    </row>
    <row r="80" spans="2:5">
      <c r="B80" s="27">
        <v>44585</v>
      </c>
      <c r="C80" s="19">
        <v>175</v>
      </c>
      <c r="D80" s="19">
        <f>2.4*M3</f>
        <v>122.39999999999999</v>
      </c>
      <c r="E80" s="19">
        <f>36000*N3</f>
        <v>169.01408450704227</v>
      </c>
    </row>
    <row r="81" spans="2:5">
      <c r="B81" s="27">
        <v>44586</v>
      </c>
      <c r="C81" s="19">
        <v>181.45</v>
      </c>
      <c r="D81" s="19">
        <f>2.55*M3</f>
        <v>130.04999999999998</v>
      </c>
      <c r="E81" s="19">
        <f>37350*N3</f>
        <v>175.35211267605635</v>
      </c>
    </row>
    <row r="82" spans="2:5">
      <c r="B82" s="27">
        <v>44587</v>
      </c>
      <c r="C82" s="19">
        <v>181</v>
      </c>
      <c r="D82" s="19">
        <f>2.55*$M$3</f>
        <v>130.04999999999998</v>
      </c>
      <c r="E82" s="19">
        <f>37700*$N$3</f>
        <v>176.99530516431926</v>
      </c>
    </row>
    <row r="83" spans="2:5">
      <c r="B83" s="27">
        <v>44588</v>
      </c>
      <c r="C83" s="19">
        <v>181</v>
      </c>
      <c r="D83" s="19">
        <f>2.55*$M$3</f>
        <v>130.04999999999998</v>
      </c>
      <c r="E83" s="19">
        <f>37700*$N$3</f>
        <v>176.99530516431926</v>
      </c>
    </row>
    <row r="84" spans="2:5">
      <c r="B84" s="27">
        <v>44589</v>
      </c>
      <c r="C84" s="19">
        <v>181</v>
      </c>
      <c r="D84" s="19">
        <f>2.55*$M$3</f>
        <v>130.04999999999998</v>
      </c>
      <c r="E84" s="19">
        <f>37000*$N$3</f>
        <v>173.70892018779344</v>
      </c>
    </row>
    <row r="85" spans="2:5">
      <c r="B85" s="27">
        <v>44590</v>
      </c>
      <c r="C85" s="19">
        <v>181</v>
      </c>
      <c r="D85" s="19">
        <f>2.55*$M$3</f>
        <v>130.04999999999998</v>
      </c>
      <c r="E85" s="19">
        <f>37700*$N$3</f>
        <v>176.99530516431926</v>
      </c>
    </row>
    <row r="86" spans="2:5">
      <c r="B86" s="27">
        <v>44591</v>
      </c>
      <c r="C86" s="19">
        <v>181</v>
      </c>
      <c r="D86" s="19">
        <f>2.54*$M$3</f>
        <v>129.54</v>
      </c>
      <c r="E86" s="19">
        <f>38000*$N$3</f>
        <v>178.40375586854461</v>
      </c>
    </row>
    <row r="87" spans="2:5">
      <c r="B87" s="27">
        <v>44592</v>
      </c>
      <c r="C87" s="19">
        <v>181</v>
      </c>
      <c r="D87" s="19">
        <f>2.55*$M$3</f>
        <v>130.04999999999998</v>
      </c>
      <c r="E87" s="19">
        <f>37700*$N$3</f>
        <v>176.99530516431926</v>
      </c>
    </row>
    <row r="88" spans="2:5">
      <c r="B88" s="27">
        <v>44593</v>
      </c>
      <c r="C88" s="19">
        <v>183</v>
      </c>
      <c r="D88" s="19">
        <f>2.55*$M$3</f>
        <v>130.04999999999998</v>
      </c>
      <c r="E88" s="19">
        <f>38500*$N$3</f>
        <v>180.75117370892019</v>
      </c>
    </row>
    <row r="89" spans="2:5">
      <c r="B89" s="27">
        <v>44594</v>
      </c>
      <c r="C89" s="19">
        <v>181</v>
      </c>
      <c r="D89" s="19">
        <f>2.5*$M$3</f>
        <v>127.5</v>
      </c>
      <c r="E89" s="19">
        <f>37000*$N$3</f>
        <v>173.70892018779344</v>
      </c>
    </row>
    <row r="90" spans="2:5">
      <c r="B90" s="27">
        <v>44595</v>
      </c>
      <c r="C90" s="19">
        <v>180.28</v>
      </c>
      <c r="D90" s="19">
        <f>2.46*$M$3</f>
        <v>125.46</v>
      </c>
      <c r="E90" s="19">
        <f>37000*$N$3</f>
        <v>173.70892018779344</v>
      </c>
    </row>
    <row r="91" spans="2:5">
      <c r="B91" s="27">
        <v>44596</v>
      </c>
      <c r="C91" s="19">
        <v>190</v>
      </c>
      <c r="D91" s="19">
        <f>2.64*$M$3</f>
        <v>134.64000000000001</v>
      </c>
      <c r="E91" s="19">
        <f>37000*N3</f>
        <v>173.70892018779344</v>
      </c>
    </row>
    <row r="92" spans="2:5">
      <c r="B92" s="27">
        <v>44597</v>
      </c>
      <c r="C92" s="19">
        <v>202.89</v>
      </c>
      <c r="D92" s="19">
        <f>2.72*$M$3</f>
        <v>138.72</v>
      </c>
      <c r="E92" s="19">
        <f>40000*N3</f>
        <v>187.79342723004694</v>
      </c>
    </row>
    <row r="93" spans="2:5">
      <c r="B93" s="27">
        <v>44598</v>
      </c>
      <c r="C93" s="19">
        <v>205</v>
      </c>
      <c r="D93" s="19">
        <f>2.8*$M$3</f>
        <v>142.79999999999998</v>
      </c>
      <c r="E93" s="19">
        <f>41500*N3</f>
        <v>194.83568075117373</v>
      </c>
    </row>
    <row r="94" spans="2:5">
      <c r="B94" s="27">
        <v>44599</v>
      </c>
      <c r="C94" s="19">
        <v>226.72</v>
      </c>
      <c r="D94" s="19">
        <f>3.23*$M$3</f>
        <v>164.73</v>
      </c>
      <c r="E94" s="19">
        <f>42600*N3</f>
        <v>200</v>
      </c>
    </row>
    <row r="95" spans="2:5">
      <c r="B95" s="27">
        <v>44600</v>
      </c>
      <c r="C95" s="19">
        <v>230</v>
      </c>
      <c r="D95" s="19">
        <f>3.28*$M$3</f>
        <v>167.28</v>
      </c>
      <c r="E95" s="19">
        <f>42800*$N$3</f>
        <v>200.93896713615024</v>
      </c>
    </row>
    <row r="96" spans="2:5">
      <c r="B96" s="27">
        <v>44601</v>
      </c>
      <c r="C96" s="19">
        <v>250</v>
      </c>
      <c r="D96" s="19">
        <f>3.4*$M$3</f>
        <v>173.4</v>
      </c>
      <c r="E96" s="19">
        <f>44000*$N$3</f>
        <v>206.57276995305165</v>
      </c>
    </row>
    <row r="97" spans="2:5">
      <c r="B97" s="27">
        <v>44602</v>
      </c>
      <c r="C97" s="19">
        <v>255</v>
      </c>
      <c r="D97" s="19">
        <f>3.7*$M$3</f>
        <v>188.70000000000002</v>
      </c>
      <c r="E97" s="19">
        <f>45000*$N$3</f>
        <v>211.26760563380282</v>
      </c>
    </row>
    <row r="98" spans="2:5">
      <c r="B98" s="27">
        <v>44603</v>
      </c>
      <c r="C98" s="19">
        <v>250</v>
      </c>
      <c r="D98" s="19">
        <f>3.6*$M$3</f>
        <v>183.6</v>
      </c>
      <c r="E98" s="19">
        <f>43600*$N$3</f>
        <v>204.69483568075117</v>
      </c>
    </row>
    <row r="99" spans="2:5">
      <c r="B99" s="27">
        <v>44604</v>
      </c>
      <c r="C99" s="19">
        <v>245</v>
      </c>
      <c r="D99" s="19">
        <f>3.5*$M$3</f>
        <v>178.5</v>
      </c>
      <c r="E99" s="19">
        <f>42300*$N$3</f>
        <v>198.59154929577466</v>
      </c>
    </row>
    <row r="100" spans="2:5">
      <c r="B100" s="27">
        <v>44605</v>
      </c>
      <c r="C100" s="19">
        <v>245</v>
      </c>
      <c r="D100" s="19">
        <f>3.5*$M$3</f>
        <v>178.5</v>
      </c>
      <c r="E100" s="19">
        <f>42500*$N$3</f>
        <v>199.53051643192489</v>
      </c>
    </row>
    <row r="101" spans="2:5">
      <c r="B101" s="27">
        <v>44606</v>
      </c>
      <c r="C101" s="19">
        <v>238</v>
      </c>
      <c r="D101" s="19">
        <f>3.4*$M$3</f>
        <v>173.4</v>
      </c>
      <c r="E101" s="19">
        <f>42000*$N$3</f>
        <v>197.18309859154931</v>
      </c>
    </row>
    <row r="102" spans="2:5">
      <c r="B102" s="27">
        <v>44607</v>
      </c>
      <c r="C102" s="19">
        <v>250</v>
      </c>
      <c r="D102" s="19">
        <f>3.61*M3</f>
        <v>184.10999999999999</v>
      </c>
      <c r="E102" s="19">
        <f>44100*N3</f>
        <v>207.04225352112675</v>
      </c>
    </row>
    <row r="103" spans="2:5">
      <c r="B103" s="27">
        <v>44608</v>
      </c>
      <c r="C103" s="19">
        <v>250</v>
      </c>
      <c r="D103" s="19">
        <f>3.68*M3</f>
        <v>187.68</v>
      </c>
      <c r="E103" s="19">
        <f>43500*N3</f>
        <v>204.22535211267606</v>
      </c>
    </row>
    <row r="104" spans="2:5">
      <c r="B104" s="27">
        <v>44609</v>
      </c>
      <c r="C104" s="19">
        <v>246</v>
      </c>
      <c r="D104" s="19">
        <f>3.65*M3</f>
        <v>186.15</v>
      </c>
      <c r="E104" s="19">
        <f>42000*N3</f>
        <v>197.18309859154931</v>
      </c>
    </row>
    <row r="105" spans="2:5">
      <c r="B105" s="27">
        <v>44610</v>
      </c>
      <c r="C105" s="19">
        <v>241.11</v>
      </c>
      <c r="D105" s="19">
        <f>3.54*$M$3</f>
        <v>180.54</v>
      </c>
      <c r="E105" s="19">
        <f>40200*$N$3</f>
        <v>188.73239436619718</v>
      </c>
    </row>
    <row r="106" spans="2:5">
      <c r="B106" s="27">
        <v>44611</v>
      </c>
      <c r="C106" s="19">
        <v>238</v>
      </c>
      <c r="D106" s="19">
        <f>3.5*$M$3</f>
        <v>178.5</v>
      </c>
      <c r="E106" s="19">
        <f>40000*$N$3</f>
        <v>187.79342723004694</v>
      </c>
    </row>
    <row r="107" spans="2:5">
      <c r="B107" s="27">
        <v>44612</v>
      </c>
      <c r="C107" s="19">
        <v>234</v>
      </c>
      <c r="D107" s="19">
        <f>3.4*$M$3</f>
        <v>173.4</v>
      </c>
      <c r="E107" s="19">
        <f>38300*$N$3</f>
        <v>179.81220657276995</v>
      </c>
    </row>
    <row r="108" spans="2:5">
      <c r="B108" s="27">
        <v>44613</v>
      </c>
      <c r="C108" s="19">
        <v>232</v>
      </c>
      <c r="D108" s="19">
        <f>3.44*$M$3</f>
        <v>175.44</v>
      </c>
      <c r="E108" s="19">
        <f>39000*$N$3</f>
        <v>183.09859154929578</v>
      </c>
    </row>
    <row r="109" spans="2:5">
      <c r="B109" s="27">
        <v>44614</v>
      </c>
      <c r="C109" s="19">
        <v>229.63</v>
      </c>
      <c r="D109" s="19">
        <f>3.34*$M$3</f>
        <v>170.34</v>
      </c>
      <c r="E109" s="19">
        <f>38000*$N$3</f>
        <v>178.40375586854461</v>
      </c>
    </row>
    <row r="110" spans="2:5">
      <c r="B110" s="27">
        <v>44630</v>
      </c>
      <c r="C110" s="19">
        <v>245</v>
      </c>
      <c r="D110" s="19">
        <f>3.45*$M$3</f>
        <v>175.95000000000002</v>
      </c>
      <c r="E110" s="19">
        <f>40000*$N$3</f>
        <v>187.79342723004694</v>
      </c>
    </row>
    <row r="111" spans="2:5">
      <c r="B111" s="27">
        <v>44639</v>
      </c>
      <c r="C111" s="19">
        <v>266</v>
      </c>
      <c r="D111" s="19">
        <f>3.75*$M$3</f>
        <v>191.25</v>
      </c>
      <c r="E111" s="19">
        <f>41900*$N$3</f>
        <v>196.71361502347418</v>
      </c>
    </row>
    <row r="112" spans="2:5">
      <c r="B112" s="27">
        <v>44649</v>
      </c>
      <c r="C112" s="19">
        <v>326</v>
      </c>
      <c r="D112" s="19">
        <f>4.65*$M$3</f>
        <v>237.15</v>
      </c>
      <c r="E112" s="19">
        <f>47500*$N$3</f>
        <v>223.00469483568077</v>
      </c>
    </row>
    <row r="113" spans="2:5">
      <c r="B113" s="27">
        <v>44653</v>
      </c>
      <c r="C113" s="19">
        <v>325.44</v>
      </c>
      <c r="D113" s="19">
        <f>4.57*$M$3</f>
        <v>233.07000000000002</v>
      </c>
      <c r="E113" s="19">
        <f>45700*$N$3</f>
        <v>214.55399061032864</v>
      </c>
    </row>
    <row r="114" spans="2:5">
      <c r="B114" s="27">
        <v>44657</v>
      </c>
      <c r="C114" s="19">
        <v>323.57</v>
      </c>
      <c r="D114" s="19">
        <f>4.55*$M$3</f>
        <v>232.04999999999998</v>
      </c>
      <c r="E114" s="19">
        <f>45300*$N$3</f>
        <v>212.67605633802816</v>
      </c>
    </row>
    <row r="115" spans="2:5">
      <c r="B115" s="27">
        <v>44660</v>
      </c>
      <c r="C115" s="19">
        <v>313</v>
      </c>
      <c r="D115" s="19">
        <f>4.42*$M$3</f>
        <v>225.42</v>
      </c>
      <c r="E115" s="19">
        <f>42500*$N$3</f>
        <v>199.53051643192489</v>
      </c>
    </row>
    <row r="116" spans="2:5">
      <c r="B116" s="27">
        <v>44662</v>
      </c>
      <c r="C116" s="19">
        <v>307.44</v>
      </c>
      <c r="D116" s="19">
        <f>4.36*$M$3</f>
        <v>222.36</v>
      </c>
      <c r="E116" s="19">
        <f>41500*$N$3</f>
        <v>194.83568075117373</v>
      </c>
    </row>
    <row r="117" spans="2:5">
      <c r="B117" s="27">
        <v>44665</v>
      </c>
      <c r="C117" s="19">
        <v>303.8</v>
      </c>
      <c r="D117" s="19">
        <f>4.33*$M$3</f>
        <v>220.83</v>
      </c>
      <c r="E117" s="19">
        <f>41000*$N$3</f>
        <v>192.48826291079811</v>
      </c>
    </row>
    <row r="118" spans="2:5">
      <c r="B118" s="27">
        <v>44667</v>
      </c>
      <c r="C118" s="19">
        <v>305.5</v>
      </c>
      <c r="D118" s="19">
        <f>4.31*$M$3</f>
        <v>219.80999999999997</v>
      </c>
      <c r="E118" s="19">
        <f>40500*$N$3</f>
        <v>190.14084507042253</v>
      </c>
    </row>
    <row r="119" spans="2:5">
      <c r="B119" s="27">
        <v>44669</v>
      </c>
      <c r="C119" s="19">
        <v>308</v>
      </c>
      <c r="D119" s="19">
        <f>4.33*$M$3</f>
        <v>220.83</v>
      </c>
      <c r="E119" s="19">
        <f>40880*$N$3</f>
        <v>191.924882629108</v>
      </c>
    </row>
    <row r="120" spans="2:5">
      <c r="B120" s="27">
        <v>44670</v>
      </c>
      <c r="C120" s="19">
        <v>316</v>
      </c>
      <c r="D120" s="19">
        <f>4.42*$M$3</f>
        <v>225.42</v>
      </c>
      <c r="E120" s="19">
        <f>41500*$N$3</f>
        <v>194.83568075117373</v>
      </c>
    </row>
    <row r="121" spans="2:5">
      <c r="B121" s="27">
        <v>44671</v>
      </c>
      <c r="C121" s="19">
        <v>317.5</v>
      </c>
      <c r="D121" s="19">
        <f>4.44*$M$3</f>
        <v>226.44000000000003</v>
      </c>
      <c r="E121" s="19">
        <f>41800*$N$3</f>
        <v>196.24413145539907</v>
      </c>
    </row>
    <row r="122" spans="2:5">
      <c r="B122" s="27">
        <v>44672</v>
      </c>
      <c r="C122" s="19">
        <v>318.5</v>
      </c>
      <c r="D122" s="19">
        <f>4.45*$M$3</f>
        <v>226.95000000000002</v>
      </c>
      <c r="E122" s="19">
        <f>41800*$N$3</f>
        <v>196.24413145539907</v>
      </c>
    </row>
    <row r="123" spans="2:5">
      <c r="B123" s="27">
        <v>44698</v>
      </c>
      <c r="C123" s="19">
        <v>215</v>
      </c>
      <c r="D123" s="19">
        <f>3*$M$3</f>
        <v>153</v>
      </c>
      <c r="E123" s="19">
        <f>30000*$N$3</f>
        <v>140.8450704225352</v>
      </c>
    </row>
    <row r="124" spans="2:5">
      <c r="B124" s="27">
        <v>44731</v>
      </c>
      <c r="C124" s="19">
        <v>90</v>
      </c>
      <c r="D124" s="19">
        <f>1*$M$3</f>
        <v>51</v>
      </c>
      <c r="E124" s="19">
        <f>18000*$N$3</f>
        <v>84.507042253521135</v>
      </c>
    </row>
    <row r="125" spans="2:5">
      <c r="B125" s="27">
        <v>44732</v>
      </c>
      <c r="C125" s="19">
        <v>98</v>
      </c>
      <c r="D125" s="19">
        <f>1*$M$3</f>
        <v>51</v>
      </c>
      <c r="E125" s="19">
        <f>20500*$N$3</f>
        <v>96.244131455399057</v>
      </c>
    </row>
    <row r="126" spans="2:5">
      <c r="B126" s="27">
        <v>44734</v>
      </c>
      <c r="C126" s="19">
        <v>99</v>
      </c>
      <c r="D126" s="19">
        <f>1*$M$3</f>
        <v>51</v>
      </c>
      <c r="E126" s="19">
        <f>20800*$N$3</f>
        <v>97.652582159624416</v>
      </c>
    </row>
    <row r="127" spans="2:5">
      <c r="B127" s="27">
        <v>44739</v>
      </c>
      <c r="C127" s="19">
        <v>101.5</v>
      </c>
      <c r="D127" s="19">
        <f>1*$M$3</f>
        <v>51</v>
      </c>
      <c r="E127" s="19">
        <f>21500*$N$3</f>
        <v>100.93896713615024</v>
      </c>
    </row>
    <row r="128" spans="2:5">
      <c r="B128" s="27">
        <v>44741</v>
      </c>
      <c r="C128" s="19">
        <v>95.5</v>
      </c>
      <c r="D128" s="19">
        <f>0.95*$M$3</f>
        <v>48.449999999999996</v>
      </c>
      <c r="E128" s="19">
        <f>20240*$N$3</f>
        <v>95.02347417840376</v>
      </c>
    </row>
    <row r="129" spans="2:5">
      <c r="B129" s="27">
        <v>44743</v>
      </c>
      <c r="C129" s="19">
        <v>88</v>
      </c>
      <c r="D129" s="19">
        <f>0.895*$M$3</f>
        <v>45.645000000000003</v>
      </c>
      <c r="E129" s="19">
        <f>19100*$N$3</f>
        <v>89.671361502347423</v>
      </c>
    </row>
    <row r="130" spans="2:5">
      <c r="B130" s="27">
        <v>44745</v>
      </c>
      <c r="C130" s="19">
        <v>85</v>
      </c>
      <c r="D130" s="19">
        <f>0.85*$M$3</f>
        <v>43.35</v>
      </c>
      <c r="E130" s="19">
        <f>19400*$N$3</f>
        <v>91.079812206572768</v>
      </c>
    </row>
    <row r="131" spans="2:5">
      <c r="B131" s="27">
        <v>44748</v>
      </c>
      <c r="C131" s="19">
        <v>93.12</v>
      </c>
      <c r="D131" s="19">
        <f>0.94*$M$3</f>
        <v>47.94</v>
      </c>
      <c r="E131" s="19">
        <f>20200*$N$3</f>
        <v>94.835680751173712</v>
      </c>
    </row>
    <row r="132" spans="2:5">
      <c r="B132" s="27">
        <v>44751</v>
      </c>
      <c r="C132" s="19">
        <v>105</v>
      </c>
      <c r="D132" s="19">
        <f>1.06*$M$3</f>
        <v>54.06</v>
      </c>
      <c r="E132" s="19">
        <f>21500*$N$3</f>
        <v>100.93896713615024</v>
      </c>
    </row>
    <row r="133" spans="2:5">
      <c r="B133" s="27">
        <v>44752</v>
      </c>
      <c r="C133" s="19">
        <v>101</v>
      </c>
      <c r="D133" s="19">
        <f>1.02*$M$3</f>
        <v>52.02</v>
      </c>
      <c r="E133" s="19">
        <f>21320*$N$3</f>
        <v>100.09389671361502</v>
      </c>
    </row>
    <row r="134" spans="2:5">
      <c r="B134" s="27">
        <v>44754</v>
      </c>
      <c r="C134" s="19">
        <v>97</v>
      </c>
      <c r="D134" s="19">
        <f>0.98*$M$3</f>
        <v>49.98</v>
      </c>
      <c r="E134" s="19">
        <f>20260*$N$3</f>
        <v>95.117370892018783</v>
      </c>
    </row>
    <row r="135" spans="2:5">
      <c r="B135" s="27">
        <v>44756</v>
      </c>
      <c r="C135" s="19">
        <v>97</v>
      </c>
      <c r="D135" s="19">
        <f>0.97*$M$3</f>
        <v>49.47</v>
      </c>
      <c r="E135" s="19">
        <f>20500*$N$3</f>
        <v>96.244131455399057</v>
      </c>
    </row>
    <row r="136" spans="2:5">
      <c r="B136" s="27">
        <v>44757</v>
      </c>
      <c r="C136" s="19">
        <v>99</v>
      </c>
      <c r="D136" s="19">
        <f>0.99*$M$3</f>
        <v>50.49</v>
      </c>
      <c r="E136" s="19">
        <f>20800*$N$3</f>
        <v>97.652582159624416</v>
      </c>
    </row>
    <row r="137" spans="2:5">
      <c r="B137" s="27">
        <v>44758</v>
      </c>
      <c r="C137" s="19">
        <v>103</v>
      </c>
      <c r="D137" s="19">
        <f>1.04*$M$3</f>
        <v>53.04</v>
      </c>
      <c r="E137" s="19">
        <f>21200*$N$3</f>
        <v>99.53051643192488</v>
      </c>
    </row>
    <row r="138" spans="2:5">
      <c r="B138" s="27">
        <v>44760</v>
      </c>
      <c r="C138" s="19">
        <v>107</v>
      </c>
      <c r="D138" s="19">
        <f>1.09*$M$3</f>
        <v>55.59</v>
      </c>
      <c r="E138" s="19">
        <f>22400*$N$3</f>
        <v>105.16431924882629</v>
      </c>
    </row>
    <row r="139" spans="2:5">
      <c r="B139" s="27">
        <v>44761</v>
      </c>
      <c r="C139" s="19">
        <v>113</v>
      </c>
      <c r="D139" s="19">
        <f>1.13*$M$3</f>
        <v>57.629999999999995</v>
      </c>
      <c r="E139" s="19">
        <f>23300*$N$3</f>
        <v>109.38967136150235</v>
      </c>
    </row>
    <row r="140" spans="2:5">
      <c r="B140" s="27">
        <v>44764</v>
      </c>
      <c r="C140" s="19">
        <v>111</v>
      </c>
      <c r="D140" s="19">
        <f>1.13*$M$3</f>
        <v>57.629999999999995</v>
      </c>
      <c r="E140" s="19">
        <f>23000*$N$3</f>
        <v>107.98122065727699</v>
      </c>
    </row>
    <row r="141" spans="2:5">
      <c r="B141" s="27">
        <v>44770</v>
      </c>
      <c r="C141" s="19">
        <v>118</v>
      </c>
      <c r="D141" s="19">
        <f>1.19*$M$3</f>
        <v>60.69</v>
      </c>
      <c r="E141" s="19">
        <f>23900*$N$3</f>
        <v>112.20657276995306</v>
      </c>
    </row>
    <row r="142" spans="2:5">
      <c r="B142" s="27">
        <v>44772</v>
      </c>
      <c r="C142" s="19">
        <v>121</v>
      </c>
      <c r="D142" s="19">
        <f>1.2*$M$3</f>
        <v>61.199999999999996</v>
      </c>
      <c r="E142" s="19">
        <f>24500*$N$3</f>
        <v>115.02347417840376</v>
      </c>
    </row>
    <row r="143" spans="2:5">
      <c r="B143" s="27">
        <v>44774</v>
      </c>
      <c r="C143" s="19">
        <v>115</v>
      </c>
      <c r="D143" s="19">
        <f>1.14*$M$3</f>
        <v>58.139999999999993</v>
      </c>
      <c r="E143" s="19">
        <f>23350*$N$3</f>
        <v>109.6244131455399</v>
      </c>
    </row>
    <row r="144" spans="2:5">
      <c r="B144" s="27">
        <v>44778</v>
      </c>
      <c r="C144" s="19">
        <v>104</v>
      </c>
      <c r="D144" s="19">
        <f>1*$M$3</f>
        <v>51</v>
      </c>
      <c r="E144" s="19">
        <f>22800*$N$3</f>
        <v>107.04225352112677</v>
      </c>
    </row>
    <row r="145" spans="2:5">
      <c r="B145" s="27">
        <v>44780</v>
      </c>
      <c r="C145" s="19">
        <v>102</v>
      </c>
      <c r="D145" s="19">
        <f>0.95*$M$3</f>
        <v>48.449999999999996</v>
      </c>
      <c r="E145" s="19">
        <f>23200*$N$3</f>
        <v>108.92018779342723</v>
      </c>
    </row>
    <row r="146" spans="2:5">
      <c r="B146" s="27">
        <v>44781</v>
      </c>
      <c r="C146" s="19">
        <v>104</v>
      </c>
      <c r="D146" s="19">
        <f>0.97*$M$3</f>
        <v>49.47</v>
      </c>
      <c r="E146" s="19">
        <f>23850*$N$3</f>
        <v>111.97183098591549</v>
      </c>
    </row>
    <row r="147" spans="2:5">
      <c r="B147" s="27">
        <v>44783</v>
      </c>
      <c r="C147" s="19">
        <v>103.6</v>
      </c>
      <c r="D147" s="19">
        <f>0.94*$M$3</f>
        <v>47.94</v>
      </c>
      <c r="E147" s="19">
        <f>24000*$N$3</f>
        <v>112.67605633802818</v>
      </c>
    </row>
    <row r="148" spans="2:5">
      <c r="B148" s="27">
        <v>44784</v>
      </c>
      <c r="C148" s="19">
        <v>103.7</v>
      </c>
      <c r="D148" s="19">
        <f>0.95*$M$3</f>
        <v>48.449999999999996</v>
      </c>
      <c r="E148" s="19">
        <f>24170*$N$3</f>
        <v>113.47417840375587</v>
      </c>
    </row>
    <row r="149" spans="2:5">
      <c r="B149" s="27">
        <v>44787</v>
      </c>
      <c r="C149" s="19">
        <v>104.5</v>
      </c>
      <c r="D149" s="19">
        <f>0.95*$M$3</f>
        <v>48.449999999999996</v>
      </c>
      <c r="E149" s="19">
        <f>24500*$N$3</f>
        <v>115.02347417840376</v>
      </c>
    </row>
    <row r="150" spans="2:5">
      <c r="B150" s="27">
        <v>44791</v>
      </c>
      <c r="C150" s="19">
        <v>98.5</v>
      </c>
      <c r="D150" s="19">
        <f>0.9*$M$3</f>
        <v>45.9</v>
      </c>
      <c r="E150" s="19">
        <f>23500*$N$3</f>
        <v>110.32863849765259</v>
      </c>
    </row>
    <row r="151" spans="2:5">
      <c r="B151" s="27">
        <v>44795</v>
      </c>
      <c r="C151" s="19">
        <v>90</v>
      </c>
      <c r="D151" s="19">
        <f>0.83*$M$3</f>
        <v>42.33</v>
      </c>
      <c r="E151" s="19">
        <f>21000*$N$3</f>
        <v>98.591549295774655</v>
      </c>
    </row>
    <row r="152" spans="2:5">
      <c r="B152" s="27">
        <v>44796</v>
      </c>
      <c r="C152" s="19">
        <v>94.5</v>
      </c>
      <c r="D152" s="19">
        <f>0.87*$M$3</f>
        <v>44.37</v>
      </c>
      <c r="E152" s="19">
        <f>21500*$N$3</f>
        <v>100.93896713615024</v>
      </c>
    </row>
    <row r="153" spans="2:5">
      <c r="B153" s="27">
        <v>44797</v>
      </c>
      <c r="C153" s="19">
        <v>96.3</v>
      </c>
      <c r="D153" s="19">
        <f>0.89*$M$3</f>
        <v>45.39</v>
      </c>
      <c r="E153" s="19">
        <f>21500*$N$3</f>
        <v>100.93896713615024</v>
      </c>
    </row>
    <row r="154" spans="2:5">
      <c r="B154" s="27">
        <v>44799</v>
      </c>
      <c r="C154" s="19">
        <v>101.36</v>
      </c>
      <c r="D154" s="19">
        <f>0.94*$M$3</f>
        <v>47.94</v>
      </c>
      <c r="E154" s="19">
        <f>21700*$N$3</f>
        <v>101.87793427230048</v>
      </c>
    </row>
    <row r="155" spans="2:5">
      <c r="B155" s="27">
        <v>44804</v>
      </c>
      <c r="C155" s="19">
        <v>97</v>
      </c>
      <c r="D155" s="19">
        <f>0.92*$M$3</f>
        <v>46.92</v>
      </c>
      <c r="E155" s="19">
        <f>20100*$N$3</f>
        <v>94.366197183098592</v>
      </c>
    </row>
    <row r="156" spans="2:5">
      <c r="B156" s="27">
        <v>44808</v>
      </c>
      <c r="C156" s="19">
        <v>115</v>
      </c>
      <c r="D156" s="19">
        <f>1.18*$M$3</f>
        <v>60.18</v>
      </c>
      <c r="E156" s="19">
        <f>19800*$N$3</f>
        <v>92.957746478873247</v>
      </c>
    </row>
    <row r="157" spans="2:5">
      <c r="B157" s="27">
        <v>44809</v>
      </c>
      <c r="C157" s="19">
        <v>124.2</v>
      </c>
      <c r="D157" s="19">
        <f>1.29*$M$3</f>
        <v>65.790000000000006</v>
      </c>
      <c r="E157" s="19">
        <f>19850*$N$3</f>
        <v>93.1924882629108</v>
      </c>
    </row>
    <row r="158" spans="2:5">
      <c r="B158" s="27">
        <v>44811</v>
      </c>
      <c r="C158" s="19">
        <v>103</v>
      </c>
      <c r="D158" s="19">
        <f>1.01*$M$3</f>
        <v>51.51</v>
      </c>
      <c r="E158" s="19">
        <f>19400*$N$3</f>
        <v>91.079812206572768</v>
      </c>
    </row>
    <row r="159" spans="2:5">
      <c r="B159" s="27">
        <v>44813</v>
      </c>
      <c r="C159" s="19">
        <v>110</v>
      </c>
      <c r="D159" s="19">
        <f>1.06*$M$3</f>
        <v>54.06</v>
      </c>
      <c r="E159" s="19">
        <f>21100*$N$3</f>
        <v>99.061032863849761</v>
      </c>
    </row>
    <row r="160" spans="2:5">
      <c r="B160" s="27">
        <v>44817</v>
      </c>
      <c r="C160" s="19">
        <v>101</v>
      </c>
      <c r="D160" s="19">
        <f>(0.95*$M$3)</f>
        <v>48.449999999999996</v>
      </c>
      <c r="E160" s="19">
        <f>(20800*$N$3)</f>
        <v>97.652582159624416</v>
      </c>
    </row>
    <row r="161" spans="2:5">
      <c r="B161" s="27">
        <v>44819</v>
      </c>
      <c r="C161" s="19">
        <v>102.85</v>
      </c>
      <c r="D161" s="19">
        <f>(0.99*$M$3)</f>
        <v>50.49</v>
      </c>
      <c r="E161" s="19">
        <f>(19750*$N$3)</f>
        <v>92.72300469483568</v>
      </c>
    </row>
    <row r="162" spans="2:5">
      <c r="B162" s="27">
        <v>44820</v>
      </c>
      <c r="C162" s="19">
        <v>100.77</v>
      </c>
      <c r="D162" s="19">
        <f>(0.96*$M$3)</f>
        <v>48.96</v>
      </c>
      <c r="E162" s="19">
        <f>(19800*$N$3)</f>
        <v>92.957746478873247</v>
      </c>
    </row>
    <row r="163" spans="2:5">
      <c r="B163" s="27">
        <v>44822</v>
      </c>
      <c r="C163" s="19">
        <v>95</v>
      </c>
      <c r="D163" s="19">
        <f>(0.89*$M$3)</f>
        <v>45.39</v>
      </c>
      <c r="E163" s="19">
        <f>(19700*$N$3)</f>
        <v>92.488262910798127</v>
      </c>
    </row>
    <row r="164" spans="2:5">
      <c r="B164" s="27">
        <v>44825</v>
      </c>
      <c r="C164" s="19">
        <v>91</v>
      </c>
      <c r="D164" s="19">
        <f>(0.84*$M$3)</f>
        <v>42.839999999999996</v>
      </c>
      <c r="E164" s="19">
        <f>(19129*$N$3)</f>
        <v>89.8075117370892</v>
      </c>
    </row>
    <row r="165" spans="2:5">
      <c r="B165" s="27">
        <v>44829</v>
      </c>
      <c r="C165" s="19">
        <v>88</v>
      </c>
      <c r="D165" s="19">
        <f>(0.79*$M$3)</f>
        <v>40.29</v>
      </c>
      <c r="E165" s="19">
        <f>(19000*$N$3)</f>
        <v>89.201877934272304</v>
      </c>
    </row>
    <row r="166" spans="2:5">
      <c r="B166" s="27">
        <v>44834</v>
      </c>
      <c r="C166" s="19">
        <v>83</v>
      </c>
      <c r="D166" s="19">
        <f>(0.72*$M$3)</f>
        <v>36.72</v>
      </c>
      <c r="E166" s="19">
        <f>(19500*$N$3)</f>
        <v>91.549295774647888</v>
      </c>
    </row>
    <row r="167" spans="2:5">
      <c r="B167" s="27">
        <v>44835</v>
      </c>
      <c r="C167" s="19">
        <v>80.709999999999894</v>
      </c>
      <c r="D167" s="19">
        <f>(0.7*$M$3)</f>
        <v>35.699999999999996</v>
      </c>
      <c r="E167" s="19">
        <f>(19300*$N$3)</f>
        <v>90.610328638497649</v>
      </c>
    </row>
    <row r="168" spans="2:5">
      <c r="B168" s="27">
        <v>44838</v>
      </c>
      <c r="C168" s="19">
        <v>81.89</v>
      </c>
      <c r="D168" s="19">
        <f>(0.7*$M$3)</f>
        <v>35.699999999999996</v>
      </c>
      <c r="E168" s="19">
        <f>(20097.4072843148*$N$3)</f>
        <v>94.354024808989664</v>
      </c>
    </row>
    <row r="169" spans="2:5">
      <c r="B169" s="27">
        <v>44840</v>
      </c>
      <c r="C169" s="19">
        <v>82.63</v>
      </c>
      <c r="D169" s="19">
        <f>(0.7*$M$3)</f>
        <v>35.699999999999996</v>
      </c>
      <c r="E169" s="19">
        <f>(20280.2350749507*$N$3)</f>
        <v>95.212371243899995</v>
      </c>
    </row>
    <row r="170" spans="2:5">
      <c r="B170" s="27">
        <v>44844</v>
      </c>
      <c r="C170" s="19">
        <v>76.62</v>
      </c>
      <c r="D170" s="19">
        <f>(0.63*$M$3)</f>
        <v>32.130000000000003</v>
      </c>
      <c r="E170" s="19">
        <f>(19112.794925185*$N$3)</f>
        <v>89.731431573638503</v>
      </c>
    </row>
    <row r="171" spans="2:5">
      <c r="B171" s="27">
        <v>44853</v>
      </c>
      <c r="C171" s="19">
        <v>75.89</v>
      </c>
      <c r="D171" s="19">
        <f>(0.63*$M$3)</f>
        <v>32.130000000000003</v>
      </c>
      <c r="E171" s="19">
        <f>(19200*$N$3)</f>
        <v>90.140845070422543</v>
      </c>
    </row>
    <row r="172" spans="2:5">
      <c r="B172" s="27">
        <v>44861</v>
      </c>
      <c r="C172" s="19">
        <v>80.67</v>
      </c>
      <c r="D172" s="19">
        <f>(0.65*$M$3)</f>
        <v>33.15</v>
      </c>
      <c r="E172" s="19">
        <f>(20580*$N$3)</f>
        <v>96.619718309859152</v>
      </c>
    </row>
    <row r="173" spans="2:5">
      <c r="B173" s="27">
        <v>44864</v>
      </c>
      <c r="C173" s="19">
        <v>81.16</v>
      </c>
      <c r="D173" s="19">
        <f>(0.65*$M$3)</f>
        <v>33.15</v>
      </c>
      <c r="E173" s="19">
        <f>(20700*$N$3)</f>
        <v>97.183098591549296</v>
      </c>
    </row>
    <row r="174" spans="2:5">
      <c r="B174" s="27">
        <v>44866</v>
      </c>
      <c r="C174" s="19">
        <v>80.45</v>
      </c>
      <c r="D174" s="19">
        <f>(0.648*$M$3)</f>
        <v>33.048000000000002</v>
      </c>
      <c r="E174" s="19">
        <f>(20533*$N$3)</f>
        <v>96.399061032863855</v>
      </c>
    </row>
    <row r="175" spans="2:5">
      <c r="B175" s="27">
        <v>44870</v>
      </c>
      <c r="C175" s="19">
        <v>82.39</v>
      </c>
      <c r="D175" s="19">
        <f>(0.658*$M$3)</f>
        <v>33.558</v>
      </c>
      <c r="E175" s="19">
        <f>(21290*$N$3)</f>
        <v>99.953051643192495</v>
      </c>
    </row>
    <row r="176" spans="2:5">
      <c r="B176" s="27">
        <v>44873</v>
      </c>
      <c r="C176" s="19">
        <v>76.61</v>
      </c>
      <c r="D176" s="19">
        <f>(0.62*$M$3)</f>
        <v>31.62</v>
      </c>
      <c r="E176" s="19">
        <f>(19679.3031320138*$N$3)</f>
        <v>92.391094516496722</v>
      </c>
    </row>
    <row r="177" spans="2:5">
      <c r="B177" s="27">
        <v>44878</v>
      </c>
      <c r="C177" s="19">
        <v>62.64</v>
      </c>
      <c r="D177" s="19">
        <f>(0.48*$M$3)</f>
        <v>24.48</v>
      </c>
      <c r="E177" s="19">
        <f>(16550*$N$3)</f>
        <v>77.699530516431921</v>
      </c>
    </row>
    <row r="178" spans="2:5">
      <c r="B178" s="27">
        <v>44880</v>
      </c>
      <c r="C178" s="19">
        <v>63.84</v>
      </c>
      <c r="D178" s="19">
        <f>(0.48*$M$3)</f>
        <v>24.48</v>
      </c>
      <c r="E178" s="19">
        <f>(16700*$N$3)</f>
        <v>78.403755868544607</v>
      </c>
    </row>
    <row r="179" spans="2:5">
      <c r="B179" s="27">
        <v>44887</v>
      </c>
      <c r="C179" s="19">
        <v>60</v>
      </c>
      <c r="D179" s="19">
        <f>(0.455*$M$3)</f>
        <v>23.205000000000002</v>
      </c>
      <c r="E179" s="19">
        <f>(16150*$N$3)</f>
        <v>75.821596244131456</v>
      </c>
    </row>
    <row r="180" spans="2:5">
      <c r="B180" s="27">
        <v>44891</v>
      </c>
      <c r="C180" s="19">
        <v>60.45</v>
      </c>
      <c r="D180" s="19">
        <f>(0.46*$M$3)</f>
        <v>23.46</v>
      </c>
      <c r="E180" s="19">
        <f>(16466*$N$3)</f>
        <v>77.305164319248831</v>
      </c>
    </row>
    <row r="181" spans="2:5">
      <c r="B181" s="27">
        <v>44896</v>
      </c>
      <c r="C181" s="19">
        <v>62.6</v>
      </c>
      <c r="D181" s="19">
        <f>(0.47*$M$3)</f>
        <v>23.97</v>
      </c>
      <c r="E181" s="19">
        <f>(17080*$N$3)</f>
        <v>80.187793427230048</v>
      </c>
    </row>
    <row r="182" spans="2:5">
      <c r="B182" s="27">
        <v>44902</v>
      </c>
      <c r="C182" s="19">
        <v>62.26</v>
      </c>
      <c r="D182" s="19">
        <f>(0.48*$M$3)</f>
        <v>24.48</v>
      </c>
      <c r="E182" s="19">
        <f>(16799*$N$3)</f>
        <v>78.868544600938975</v>
      </c>
    </row>
    <row r="183" spans="2:5">
      <c r="B183" s="27">
        <v>44907</v>
      </c>
      <c r="C183" s="19">
        <v>63.09</v>
      </c>
      <c r="D183" s="19">
        <f>(0.48*$M$3)</f>
        <v>24.48</v>
      </c>
      <c r="E183" s="19">
        <f>(17160*$N$3)</f>
        <v>80.563380281690144</v>
      </c>
    </row>
    <row r="184" spans="2:5">
      <c r="B184" s="27">
        <v>44909</v>
      </c>
      <c r="C184" s="19">
        <v>65.38</v>
      </c>
      <c r="D184" s="19">
        <f>(0.49*$M$3)</f>
        <v>24.99</v>
      </c>
      <c r="E184" s="19">
        <f>(17822*$N$3)</f>
        <v>83.671361502347423</v>
      </c>
    </row>
    <row r="185" spans="2:5">
      <c r="B185" s="27">
        <v>44912</v>
      </c>
      <c r="C185" s="19">
        <v>60.84</v>
      </c>
      <c r="D185" s="19">
        <f>(0.455*$M$3)</f>
        <v>23.205000000000002</v>
      </c>
      <c r="E185" s="19">
        <f>(16710*$N$3)</f>
        <v>78.450704225352112</v>
      </c>
    </row>
    <row r="186" spans="2:5">
      <c r="B186" s="27">
        <v>44915</v>
      </c>
      <c r="C186" s="19">
        <v>60.92</v>
      </c>
      <c r="D186" s="19">
        <f>(0.452*$M$3)</f>
        <v>23.052</v>
      </c>
      <c r="E186" s="19">
        <f>(16840*$N$3)</f>
        <v>79.061032863849761</v>
      </c>
    </row>
    <row r="187" spans="2:5">
      <c r="B187" s="27">
        <v>44928</v>
      </c>
      <c r="C187" s="19">
        <v>58.87</v>
      </c>
      <c r="D187" s="19">
        <f>(0.42*$M$3)</f>
        <v>21.419999999999998</v>
      </c>
      <c r="E187" s="19">
        <f>(16730*$N$3)</f>
        <v>78.544600938967136</v>
      </c>
    </row>
    <row r="188" spans="2:5">
      <c r="B188" s="27">
        <v>44935</v>
      </c>
      <c r="C188" s="19">
        <v>59.06</v>
      </c>
      <c r="D188" s="19">
        <f>(0.42*$M$3)</f>
        <v>21.419999999999998</v>
      </c>
      <c r="E188" s="19">
        <f>(17100*$N$3)</f>
        <v>80.281690140845072</v>
      </c>
    </row>
    <row r="189" spans="2:5">
      <c r="B189" s="27">
        <v>44936</v>
      </c>
      <c r="C189" s="19">
        <v>60.11</v>
      </c>
      <c r="D189" s="19">
        <f>(0.43*$M$3)</f>
        <v>21.93</v>
      </c>
      <c r="E189" s="19">
        <f>(17268*$N$3)</f>
        <v>81.070422535211264</v>
      </c>
    </row>
    <row r="190" spans="2:5">
      <c r="B190" s="27">
        <v>44937</v>
      </c>
      <c r="C190" s="19">
        <v>60.45</v>
      </c>
      <c r="D190" s="19">
        <f>(0.43*$M$3)</f>
        <v>21.93</v>
      </c>
      <c r="E190" s="19">
        <f>(17550*$N$3)</f>
        <v>82.394366197183103</v>
      </c>
    </row>
    <row r="191" spans="2:5">
      <c r="B191" s="27">
        <v>44938</v>
      </c>
      <c r="C191" s="19">
        <v>64.650000000000006</v>
      </c>
      <c r="D191" s="19">
        <f>(0.462*$M$3)</f>
        <v>23.562000000000001</v>
      </c>
      <c r="E191" s="19">
        <f>(18880*$N$3)</f>
        <v>88.63849765258216</v>
      </c>
    </row>
    <row r="192" spans="2:5">
      <c r="B192" s="27">
        <v>44939</v>
      </c>
      <c r="C192" s="19">
        <v>65.849999999999895</v>
      </c>
      <c r="D192" s="19">
        <f>(0.466*$M$3)</f>
        <v>23.766000000000002</v>
      </c>
      <c r="E192" s="19">
        <f>(19350*$N$3)</f>
        <v>90.845070422535215</v>
      </c>
    </row>
    <row r="193" spans="2:5">
      <c r="B193" s="27">
        <v>44941</v>
      </c>
      <c r="C193" s="19">
        <v>71.42</v>
      </c>
      <c r="D193" s="19">
        <f>(0.5*$M$3)</f>
        <v>25.5</v>
      </c>
      <c r="E193" s="19">
        <f>(21000*$N$3)</f>
        <v>98.591549295774655</v>
      </c>
    </row>
    <row r="194" spans="2:5">
      <c r="B194" s="27">
        <v>44943</v>
      </c>
      <c r="C194" s="19">
        <v>72.02</v>
      </c>
      <c r="D194" s="19">
        <f>(0.51*$M$3)</f>
        <v>26.01</v>
      </c>
      <c r="E194" s="19">
        <f>(21180*$N$3)</f>
        <v>99.436619718309856</v>
      </c>
    </row>
    <row r="195" spans="2:5">
      <c r="B195" s="27">
        <v>44947</v>
      </c>
      <c r="C195" s="19">
        <v>76.94</v>
      </c>
      <c r="D195" s="19">
        <f>(0.54*$M$3)</f>
        <v>27.540000000000003</v>
      </c>
      <c r="E195" s="19">
        <f>(22875*$N$3)</f>
        <v>107.3943661971831</v>
      </c>
    </row>
    <row r="196" spans="2:5">
      <c r="B196" s="27">
        <v>44952</v>
      </c>
      <c r="C196" s="19">
        <v>77.19</v>
      </c>
      <c r="D196" s="19">
        <f>(0.537*$M$3)</f>
        <v>27.387</v>
      </c>
      <c r="E196" s="19">
        <f>(23000*$N$3)</f>
        <v>107.98122065727699</v>
      </c>
    </row>
    <row r="197" spans="2:5">
      <c r="B197" s="27">
        <v>44955</v>
      </c>
      <c r="C197" s="19">
        <v>84.2</v>
      </c>
      <c r="D197" s="19">
        <f>(0.6*$M$3)</f>
        <v>30.599999999999998</v>
      </c>
      <c r="E197" s="19">
        <f>(23500*$N$3)</f>
        <v>110.32863849765259</v>
      </c>
    </row>
    <row r="198" spans="2:5">
      <c r="B198" s="27">
        <v>44958</v>
      </c>
      <c r="C198" s="19">
        <v>87.319999999999894</v>
      </c>
      <c r="D198" s="19">
        <f>(0.6345*$M$3)</f>
        <v>32.359499999999997</v>
      </c>
      <c r="E198" s="19">
        <f>(23400*$N$3)</f>
        <v>109.85915492957747</v>
      </c>
    </row>
    <row r="199" spans="2:5">
      <c r="B199" s="27">
        <v>44960</v>
      </c>
      <c r="C199" s="19">
        <v>88.52</v>
      </c>
      <c r="D199" s="19">
        <f>(0.647*$M$3)</f>
        <v>32.997</v>
      </c>
      <c r="E199" s="19">
        <f>(23400*$N$3)</f>
        <v>109.85915492957747</v>
      </c>
    </row>
    <row r="200" spans="2:5">
      <c r="B200" s="27">
        <v>44963</v>
      </c>
      <c r="C200" s="19">
        <v>83.43</v>
      </c>
      <c r="D200" s="19">
        <f>(0.5961*$M$3)</f>
        <v>30.4011</v>
      </c>
      <c r="E200" s="19">
        <f>(22981.9589454636*$N$3)</f>
        <v>107.89652087072113</v>
      </c>
    </row>
    <row r="201" spans="2:5">
      <c r="B201" s="27">
        <v>44965</v>
      </c>
      <c r="C201" s="19">
        <v>84.14</v>
      </c>
      <c r="D201" s="19">
        <f>(0.5989*$M$3)</f>
        <v>30.543900000000001</v>
      </c>
      <c r="E201" s="19">
        <f>(23185.9589454636*$N$3)</f>
        <v>108.85426734959437</v>
      </c>
    </row>
    <row r="202" spans="2:5">
      <c r="B202" s="27">
        <v>44967</v>
      </c>
      <c r="C202" s="19">
        <v>79.290000000000006</v>
      </c>
      <c r="D202" s="19">
        <f>(0.563*$M$3)</f>
        <v>28.712999999999997</v>
      </c>
      <c r="E202" s="19">
        <f>(21850.9589454636*$N$3)</f>
        <v>102.58666171579155</v>
      </c>
    </row>
    <row r="203" spans="2:5">
      <c r="B203" s="27">
        <v>44969</v>
      </c>
      <c r="C203" s="19">
        <v>79.7</v>
      </c>
      <c r="D203" s="19">
        <f>(0.5686*$M$3)</f>
        <v>28.9986</v>
      </c>
      <c r="E203" s="19">
        <f>(21770.9589454636*$N$3)</f>
        <v>102.21107486133145</v>
      </c>
    </row>
    <row r="204" spans="2:5">
      <c r="B204" s="27">
        <v>44971</v>
      </c>
      <c r="C204" s="19">
        <v>78.540000000000006</v>
      </c>
      <c r="D204" s="19">
        <f>(0.5534*$M$3)</f>
        <v>28.223400000000002</v>
      </c>
      <c r="E204" s="19">
        <f>(21849.1075186578*$N$3)</f>
        <v>102.57796957116338</v>
      </c>
    </row>
    <row r="205" spans="2:5">
      <c r="B205" s="27">
        <v>44972</v>
      </c>
      <c r="C205" s="19">
        <v>86.18</v>
      </c>
      <c r="D205" s="19">
        <f>(0.6*$M$3)</f>
        <v>30.599999999999998</v>
      </c>
      <c r="E205" s="19">
        <f>(24205.7173552454*$N$3)</f>
        <v>113.64186551758404</v>
      </c>
    </row>
    <row r="206" spans="2:5">
      <c r="B206" s="27">
        <v>44973</v>
      </c>
      <c r="C206" s="19">
        <v>87.81</v>
      </c>
      <c r="D206" s="19">
        <f>(0.6165*$M$3)</f>
        <v>31.441500000000001</v>
      </c>
      <c r="E206" s="19">
        <f>(24712.350600352*$N$3)</f>
        <v>116.02042535376526</v>
      </c>
    </row>
    <row r="207" spans="2:5">
      <c r="B207" s="27">
        <v>44978</v>
      </c>
      <c r="C207" s="19">
        <v>87.89</v>
      </c>
      <c r="D207" s="19">
        <f>(0.615*$M$3)</f>
        <v>31.364999999999998</v>
      </c>
      <c r="E207" s="19">
        <f>(24712.350600352*$N$3)</f>
        <v>116.02042535376526</v>
      </c>
    </row>
    <row r="208" spans="2:5">
      <c r="B208" s="27">
        <v>44980</v>
      </c>
      <c r="C208" s="19">
        <v>86.51</v>
      </c>
      <c r="D208" s="19">
        <f>(0.6055*$M$3)</f>
        <v>30.880500000000001</v>
      </c>
      <c r="E208" s="19">
        <f>(24250.350600352*$N$3)</f>
        <v>113.85141126925822</v>
      </c>
    </row>
    <row r="209" spans="2:5">
      <c r="B209" s="27">
        <v>44985</v>
      </c>
      <c r="C209" s="19">
        <v>82.41</v>
      </c>
      <c r="D209" s="19">
        <f>(0.573*$M$3)</f>
        <v>29.222999999999999</v>
      </c>
      <c r="E209" s="19">
        <f>(23370.350600352*$N$3)</f>
        <v>109.7199558701972</v>
      </c>
    </row>
    <row r="210" spans="2:5">
      <c r="B210" s="27">
        <v>44990</v>
      </c>
      <c r="C210" s="19">
        <v>76.27</v>
      </c>
      <c r="D210" s="19">
        <f>(0.5158*$M$3)</f>
        <v>26.305800000000001</v>
      </c>
      <c r="E210" s="19">
        <f>(22400*$N$3)</f>
        <v>105.16431924882629</v>
      </c>
    </row>
    <row r="211" spans="2:5">
      <c r="B211" s="27">
        <v>44993</v>
      </c>
      <c r="C211" s="19">
        <v>74.23</v>
      </c>
      <c r="D211" s="19">
        <f>(0.5026*$M$3)</f>
        <v>25.632600000000004</v>
      </c>
      <c r="E211" s="19">
        <f>(22100*$N$3)</f>
        <v>103.75586854460094</v>
      </c>
    </row>
    <row r="212" spans="2:5">
      <c r="B212" s="27">
        <v>44998</v>
      </c>
      <c r="C212" s="19">
        <v>74.02</v>
      </c>
      <c r="D212" s="19">
        <f>(0.5024*$M$3)</f>
        <v>25.622399999999999</v>
      </c>
      <c r="E212" s="19">
        <f>(22100*$N$3)</f>
        <v>103.75586854460094</v>
      </c>
    </row>
    <row r="213" spans="2:5">
      <c r="B213" s="27">
        <v>44999</v>
      </c>
      <c r="C213" s="19">
        <v>81.260000000000005</v>
      </c>
      <c r="D213" s="19">
        <f>(0.542*$M$3)</f>
        <v>27.642000000000003</v>
      </c>
      <c r="E213" s="19">
        <f>(24450*$N$3)</f>
        <v>114.78873239436621</v>
      </c>
    </row>
    <row r="214" spans="2:5">
      <c r="B214" s="27">
        <v>45005</v>
      </c>
      <c r="C214" s="19">
        <v>88.569999999999894</v>
      </c>
      <c r="D214" s="19">
        <f>(0.58*$M$3)</f>
        <v>29.58</v>
      </c>
      <c r="E214" s="19">
        <f>(27300*$N$3)</f>
        <v>128.16901408450704</v>
      </c>
    </row>
    <row r="215" spans="2:5">
      <c r="B215" s="27">
        <v>45007</v>
      </c>
      <c r="C215" s="19">
        <v>89.39</v>
      </c>
      <c r="D215" s="19">
        <f>(0.58*$M$3)</f>
        <v>29.58</v>
      </c>
      <c r="E215" s="19">
        <f>(28130*$N$3)</f>
        <v>132.06572769953053</v>
      </c>
    </row>
    <row r="216" spans="2:5">
      <c r="B216" s="27">
        <v>45011</v>
      </c>
      <c r="C216" s="19">
        <v>85.04</v>
      </c>
      <c r="D216" s="19">
        <f>(0.548*$M$3)</f>
        <v>27.948</v>
      </c>
      <c r="E216" s="19">
        <f>(27463.8330404678*$N$3)</f>
        <v>128.93818328858123</v>
      </c>
    </row>
    <row r="217" spans="2:5">
      <c r="B217" s="27">
        <v>45015</v>
      </c>
      <c r="C217" s="19">
        <v>86.569999999999894</v>
      </c>
      <c r="D217" s="19">
        <f>(0.5537*$M$3)</f>
        <v>28.238699999999998</v>
      </c>
      <c r="E217" s="19">
        <f>(28700.8330404678*$N$3)</f>
        <v>134.74569502567044</v>
      </c>
    </row>
    <row r="218" spans="2:5">
      <c r="B218" s="27">
        <v>45020</v>
      </c>
      <c r="C218" s="19">
        <v>82.84</v>
      </c>
      <c r="D218" s="19">
        <f>(0.5168*$M$3)</f>
        <v>26.356800000000003</v>
      </c>
      <c r="E218" s="19">
        <f>(27893.9734182823*$N$3)</f>
        <v>130.95762168207654</v>
      </c>
    </row>
    <row r="219" spans="2:5">
      <c r="B219" s="27">
        <v>45026</v>
      </c>
      <c r="C219" s="19">
        <v>83.18</v>
      </c>
      <c r="D219" s="19">
        <f>(0.5051*$M$3)</f>
        <v>25.760100000000001</v>
      </c>
      <c r="E219" s="19">
        <f>(29206.9474217049*$N$3)</f>
        <v>137.12181888124366</v>
      </c>
    </row>
    <row r="220" spans="2:5">
      <c r="B220" s="27">
        <v>45029</v>
      </c>
      <c r="C220" s="19">
        <v>85.08</v>
      </c>
      <c r="D220" s="19">
        <f>(0.5244*$M$3)</f>
        <v>26.744399999999999</v>
      </c>
      <c r="E220" s="19">
        <f>(30353.3848252628*$N$3)</f>
        <v>142.50415410921502</v>
      </c>
    </row>
    <row r="221" spans="2:5">
      <c r="B221" s="27">
        <v>45033</v>
      </c>
      <c r="C221" s="19">
        <v>86.19</v>
      </c>
      <c r="D221" s="19">
        <f>(0.5251*$M$3)</f>
        <v>26.780100000000001</v>
      </c>
      <c r="E221" s="19">
        <f>(30364.3848252628*$N$3)</f>
        <v>142.55579730170331</v>
      </c>
    </row>
    <row r="222" spans="2:5">
      <c r="B222" s="27">
        <v>45043</v>
      </c>
      <c r="C222" s="19">
        <v>79.84</v>
      </c>
      <c r="D222" s="19">
        <f>(0.4765*$M$3)</f>
        <v>24.301499999999997</v>
      </c>
      <c r="E222" s="19">
        <f>(28950*$N$3)</f>
        <v>135.91549295774649</v>
      </c>
    </row>
    <row r="223" spans="2:5">
      <c r="B223" s="27">
        <v>45061</v>
      </c>
      <c r="C223" s="19">
        <v>66.19</v>
      </c>
      <c r="D223" s="19">
        <f>(0.3685*$M$3)</f>
        <v>18.793499999999998</v>
      </c>
      <c r="E223" s="19">
        <f>(27366*$N$3)</f>
        <v>128.47887323943661</v>
      </c>
    </row>
    <row r="224" spans="2:5">
      <c r="B224" s="27">
        <v>45068</v>
      </c>
      <c r="C224" s="19">
        <v>64.45</v>
      </c>
      <c r="D224" s="19">
        <f>(0.3552*$M$3)</f>
        <v>18.115200000000002</v>
      </c>
      <c r="E224" s="19">
        <f>(26800*$N$3)</f>
        <v>125.82159624413146</v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B6" sqref="B6:D6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C3" s="37"/>
      <c r="D3" s="37"/>
      <c r="E3" s="37"/>
      <c r="G3" s="37"/>
      <c r="H3" s="37"/>
      <c r="I3" t="s">
        <v>3</v>
      </c>
      <c r="J3" s="37">
        <v>5.1041746582730969</v>
      </c>
      <c r="O3" s="37"/>
      <c r="P3" s="37"/>
    </row>
    <row r="4" spans="2:16">
      <c r="B4" t="s">
        <v>5</v>
      </c>
      <c r="C4" t="s">
        <v>6</v>
      </c>
      <c r="D4" t="s">
        <v>7</v>
      </c>
      <c r="E4" s="37"/>
      <c r="G4" s="37"/>
      <c r="H4" s="37"/>
      <c r="I4" t="s">
        <v>8</v>
      </c>
      <c r="J4" s="37">
        <f>(B10*J3)</f>
        <v>5.764009385126351</v>
      </c>
      <c r="K4" s="4">
        <f>(J4/D10-1)</f>
        <v>-0.13453312535640383</v>
      </c>
      <c r="O4" s="37"/>
      <c r="P4" s="37"/>
    </row>
    <row r="5" spans="2:16">
      <c r="B5" s="1">
        <v>1.12886</v>
      </c>
      <c r="C5" s="37">
        <f>(D5/B5)</f>
        <v>5.8997572772531583</v>
      </c>
      <c r="D5" s="37">
        <v>6.66</v>
      </c>
      <c r="E5" t="s">
        <v>80</v>
      </c>
      <c r="G5" s="37"/>
      <c r="H5" s="37"/>
      <c r="J5" s="37"/>
      <c r="M5" t="s">
        <v>80</v>
      </c>
      <c r="N5" t="s">
        <v>29</v>
      </c>
      <c r="O5" t="s">
        <v>1</v>
      </c>
      <c r="P5" t="s">
        <v>2</v>
      </c>
    </row>
    <row r="6" spans="2:16">
      <c r="B6" s="2">
        <v>4.1354E-4</v>
      </c>
      <c r="C6" s="39">
        <v>0</v>
      </c>
      <c r="D6" s="39">
        <f>(B6*C6)</f>
        <v>0</v>
      </c>
      <c r="E6" s="37">
        <f>(B6*J3)</f>
        <v>2.1107803881822563E-3</v>
      </c>
      <c r="G6" s="37"/>
      <c r="H6" s="37"/>
      <c r="J6" s="37"/>
      <c r="M6" t="s">
        <v>11</v>
      </c>
      <c r="N6" s="1">
        <f>($B$5/5)</f>
        <v>0.225772</v>
      </c>
      <c r="O6" s="35">
        <f>($C$5*Params!K8)</f>
        <v>7.6696844604291057</v>
      </c>
      <c r="P6" s="37">
        <f>(O6*N6)</f>
        <v>1.7316</v>
      </c>
    </row>
    <row r="7" spans="2:16">
      <c r="C7" s="37"/>
      <c r="D7" s="37"/>
      <c r="E7" s="37"/>
      <c r="G7" s="37"/>
      <c r="H7" s="37"/>
      <c r="J7" s="37"/>
      <c r="N7" s="1">
        <f>($B$5/5)</f>
        <v>0.225772</v>
      </c>
      <c r="O7" s="35">
        <f>($C$5*Params!K9)</f>
        <v>9.439611643605053</v>
      </c>
      <c r="P7" s="37">
        <f>(O7*N7)</f>
        <v>2.1312000000000002</v>
      </c>
    </row>
    <row r="8" spans="2:16">
      <c r="C8" s="37"/>
      <c r="D8" s="37"/>
      <c r="E8" s="37"/>
      <c r="G8" s="37"/>
      <c r="H8" s="37"/>
      <c r="J8" s="37"/>
      <c r="N8" s="1">
        <f>($B$5/5)</f>
        <v>0.225772</v>
      </c>
      <c r="O8" s="35">
        <f>($C$5*Params!K10)</f>
        <v>12.979466009956949</v>
      </c>
      <c r="P8" s="37">
        <f>(O8*N8)</f>
        <v>2.9304000000000006</v>
      </c>
    </row>
    <row r="9" spans="2:16">
      <c r="C9" s="37"/>
      <c r="D9" s="37"/>
      <c r="E9" s="37"/>
      <c r="F9" t="s">
        <v>9</v>
      </c>
      <c r="G9" s="37">
        <f>(D10/B10)</f>
        <v>5.8975967859833149</v>
      </c>
      <c r="H9" s="37"/>
      <c r="J9" s="37"/>
      <c r="N9" s="1">
        <f>($B$5/5)</f>
        <v>0.225772</v>
      </c>
      <c r="O9" s="35">
        <f>($C$5*Params!K11)</f>
        <v>23.599029109012633</v>
      </c>
      <c r="P9" s="37">
        <f>(O9*N9)</f>
        <v>5.3280000000000003</v>
      </c>
    </row>
    <row r="10" spans="2:16">
      <c r="B10" s="1">
        <f>(SUM(B5:B9))</f>
        <v>1.12927354</v>
      </c>
      <c r="C10" s="37"/>
      <c r="D10" s="37">
        <f>(SUM(D5:D9))</f>
        <v>6.66</v>
      </c>
      <c r="E10" s="37"/>
      <c r="G10" s="37"/>
      <c r="H10" s="37"/>
      <c r="J10" s="37"/>
      <c r="O10" s="37"/>
      <c r="P10" s="37"/>
    </row>
    <row r="11" spans="2:16">
      <c r="O11" s="37"/>
      <c r="P11" s="37">
        <f>(SUM(P6:P9))</f>
        <v>12.121200000000002</v>
      </c>
    </row>
    <row r="12" spans="2:16">
      <c r="O12" s="37"/>
      <c r="P12" s="37"/>
    </row>
    <row r="13" spans="2:16">
      <c r="O13" s="37"/>
      <c r="P13" s="37"/>
    </row>
  </sheetData>
  <conditionalFormatting sqref="C5">
    <cfRule type="cellIs" dxfId="25" priority="5" operator="lessThan">
      <formula>$J$3</formula>
    </cfRule>
    <cfRule type="cellIs" dxfId="24" priority="6" operator="greaterThan">
      <formula>$J$3</formula>
    </cfRule>
  </conditionalFormatting>
  <conditionalFormatting sqref="O6:O9">
    <cfRule type="cellIs" dxfId="23" priority="3" operator="lessThan">
      <formula>$J$3</formula>
    </cfRule>
    <cfRule type="cellIs" dxfId="22" priority="4" operator="greaterThan">
      <formula>$J$3</formula>
    </cfRule>
  </conditionalFormatting>
  <conditionalFormatting sqref="G9">
    <cfRule type="cellIs" dxfId="21" priority="1" operator="lessThan">
      <formula>$J$3</formula>
    </cfRule>
    <cfRule type="cellIs" dxfId="20" priority="2" operator="greaterThan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 xmlns:r="http://schemas.openxmlformats.org/officeDocument/2006/relationships">
  <dimension ref="B2:T17"/>
  <sheetViews>
    <sheetView workbookViewId="0">
      <selection activeCell="N22" sqref="N22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  <col min="20" max="20" width="10.28515625" style="14" bestFit="1" customWidth="1"/>
  </cols>
  <sheetData>
    <row r="2" spans="2:20">
      <c r="N2" t="s">
        <v>0</v>
      </c>
      <c r="O2" t="s">
        <v>1</v>
      </c>
      <c r="P2" t="s">
        <v>2</v>
      </c>
    </row>
    <row r="3" spans="2:20">
      <c r="I3" t="s">
        <v>3</v>
      </c>
      <c r="J3" s="37">
        <v>0.45968631137206489</v>
      </c>
      <c r="M3" t="s">
        <v>4</v>
      </c>
      <c r="N3" s="19">
        <f>(INDEX(N5:N13,MATCH(MAX(O6),O5:O13,0))/0.9)</f>
        <v>11.955555555555556</v>
      </c>
      <c r="O3" s="38">
        <f>(MAX(O6)*0.85)</f>
        <v>0.39914430817843866</v>
      </c>
      <c r="P3" s="37">
        <f>(O3*N3)</f>
        <v>4.7719919511111115</v>
      </c>
    </row>
    <row r="4" spans="2:20">
      <c r="B4" t="s">
        <v>5</v>
      </c>
      <c r="C4" t="s">
        <v>6</v>
      </c>
      <c r="D4" t="s">
        <v>7</v>
      </c>
      <c r="I4" t="s">
        <v>8</v>
      </c>
      <c r="J4">
        <f>(B13*J3)</f>
        <v>19.841894919692425</v>
      </c>
      <c r="K4" s="4">
        <f>(J4/D13-1)</f>
        <v>0.41250569082153854</v>
      </c>
      <c r="R4" t="s">
        <v>5</v>
      </c>
      <c r="S4" t="s">
        <v>6</v>
      </c>
      <c r="T4" t="s">
        <v>7</v>
      </c>
    </row>
    <row r="5" spans="2:20">
      <c r="B5" s="19">
        <v>52.112819999999999</v>
      </c>
      <c r="C5" s="37">
        <f>(D5/B5)</f>
        <v>0.35691793305370928</v>
      </c>
      <c r="D5" s="37">
        <v>18.600000000000001</v>
      </c>
      <c r="N5" t="s">
        <v>29</v>
      </c>
      <c r="O5" t="s">
        <v>1</v>
      </c>
      <c r="P5" t="s">
        <v>2</v>
      </c>
      <c r="R5">
        <f>(SUM(B$5:B$7))</f>
        <v>53.923989069999998</v>
      </c>
      <c r="S5" s="37">
        <f>(T5/R5)</f>
        <v>0.35420228231271694</v>
      </c>
      <c r="T5" s="37">
        <f>(SUM(D5:D7))</f>
        <v>19.100000000000001</v>
      </c>
    </row>
    <row r="6" spans="2:20">
      <c r="B6" s="2">
        <v>0.3489776</v>
      </c>
      <c r="C6" s="39">
        <v>0</v>
      </c>
      <c r="D6" s="39">
        <f>(B6*C6)</f>
        <v>0</v>
      </c>
      <c r="E6" s="37">
        <f>(B6*J3)</f>
        <v>0.16042022569547593</v>
      </c>
      <c r="M6" t="s">
        <v>11</v>
      </c>
      <c r="N6">
        <f>(-B8)</f>
        <v>10.76</v>
      </c>
      <c r="O6" s="37">
        <f>P6/N6</f>
        <v>0.46958153903345723</v>
      </c>
      <c r="P6" s="37">
        <f>(-D8)</f>
        <v>5.0526973599999998</v>
      </c>
      <c r="Q6" t="s">
        <v>12</v>
      </c>
      <c r="R6">
        <f>(B8)</f>
        <v>-10.76</v>
      </c>
      <c r="S6" s="37">
        <f>(C8)</f>
        <v>0.46958153903345723</v>
      </c>
      <c r="T6" s="37">
        <f>(D8)</f>
        <v>-5.0526973599999998</v>
      </c>
    </row>
    <row r="7" spans="2:20">
      <c r="B7" s="19">
        <v>1.46219147</v>
      </c>
      <c r="C7" s="37">
        <f>(D7/B7)</f>
        <v>0.34195248040942272</v>
      </c>
      <c r="D7" s="37">
        <v>0.5</v>
      </c>
      <c r="N7" s="19">
        <f>(2*SUM(B$5:B$7)/5-N6)</f>
        <v>10.809595627999999</v>
      </c>
      <c r="O7" s="37">
        <f>($C$5*Params!K9)</f>
        <v>0.57106869288593487</v>
      </c>
      <c r="P7" s="37">
        <f>(O7*N7)</f>
        <v>6.1730216459074754</v>
      </c>
    </row>
    <row r="8" spans="2:20">
      <c r="B8">
        <v>-10.76</v>
      </c>
      <c r="C8" s="37">
        <f>(D8/B8)</f>
        <v>0.46958153903345723</v>
      </c>
      <c r="D8" s="37">
        <v>-5.0526973599999998</v>
      </c>
      <c r="N8" s="19">
        <f>(SUM(B$5:B$7)/5)</f>
        <v>10.784797813999999</v>
      </c>
      <c r="O8" s="37">
        <f>($C$5*Params!K10)</f>
        <v>0.78521945271816052</v>
      </c>
      <c r="P8" s="37">
        <f>(O8*N8)</f>
        <v>8.4684330371850933</v>
      </c>
    </row>
    <row r="9" spans="2:20">
      <c r="N9" s="19">
        <f>(SUM(B$5:B$7)/5)</f>
        <v>10.784797813999999</v>
      </c>
      <c r="O9" s="37">
        <f>($C$5*Params!K11)</f>
        <v>1.4276717322148371</v>
      </c>
      <c r="P9" s="37">
        <f>(O9*N9)</f>
        <v>15.397150976700168</v>
      </c>
    </row>
    <row r="11" spans="2:20">
      <c r="P11">
        <f>(SUM(P6:P9))</f>
        <v>35.091303019792733</v>
      </c>
    </row>
    <row r="12" spans="2:20">
      <c r="F12" t="s">
        <v>9</v>
      </c>
      <c r="G12" s="37">
        <f>(D13/B13)</f>
        <v>0.32544032520301075</v>
      </c>
    </row>
    <row r="13" spans="2:20">
      <c r="B13">
        <f>(SUM(B5:B12))</f>
        <v>43.16398907</v>
      </c>
      <c r="D13" s="37">
        <f>(SUM(D5:D12))</f>
        <v>14.047302640000002</v>
      </c>
    </row>
    <row r="17" spans="18:20">
      <c r="R17">
        <f>(SUM(R5:R16))</f>
        <v>43.16398907</v>
      </c>
      <c r="T17" s="37">
        <f>(SUM(T5:T16))</f>
        <v>14.047302640000002</v>
      </c>
    </row>
  </sheetData>
  <conditionalFormatting sqref="C5 C7 G12 O7:O9 S5">
    <cfRule type="cellIs" dxfId="19" priority="11" operator="lessThan">
      <formula>$J$3</formula>
    </cfRule>
    <cfRule type="cellIs" dxfId="18" priority="12" operator="greaterThan">
      <formula>$J$3</formula>
    </cfRule>
  </conditionalFormatting>
  <conditionalFormatting sqref="O3">
    <cfRule type="cellIs" dxfId="17" priority="5" operator="greaterThan">
      <formula>$J$3</formula>
    </cfRule>
    <cfRule type="cellIs" dxfId="16" priority="6" operator="lessThan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>
  <dimension ref="B2:Q11"/>
  <sheetViews>
    <sheetView workbookViewId="0">
      <selection activeCell="C5" sqref="C5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2" spans="2:17">
      <c r="N2" t="s">
        <v>0</v>
      </c>
      <c r="O2" t="s">
        <v>1</v>
      </c>
      <c r="P2" t="s">
        <v>2</v>
      </c>
    </row>
    <row r="3" spans="2:17">
      <c r="I3" t="s">
        <v>3</v>
      </c>
      <c r="J3" s="37">
        <v>0.1220173952896054</v>
      </c>
      <c r="M3" t="s">
        <v>4</v>
      </c>
      <c r="N3" s="29">
        <f>(INDEX(N5:N25,MATCH(MAX(O6:O7),O5:O25,0))/0.9)</f>
        <v>14.114724477777777</v>
      </c>
      <c r="O3" s="38">
        <f>(MAX(O6:O8)*0.85)</f>
        <v>0.11154527201312445</v>
      </c>
      <c r="P3" s="37">
        <f>(O3*N3)</f>
        <v>1.5744307812640281</v>
      </c>
    </row>
    <row r="4" spans="2:17">
      <c r="B4" t="s">
        <v>5</v>
      </c>
      <c r="C4" t="s">
        <v>6</v>
      </c>
      <c r="D4" t="s">
        <v>7</v>
      </c>
      <c r="I4" t="s">
        <v>8</v>
      </c>
      <c r="J4" s="37">
        <f>(B10*J3)</f>
        <v>3.1538846415730344</v>
      </c>
      <c r="K4" s="4">
        <f>(J4/D10-1)</f>
        <v>21.031872928397558</v>
      </c>
    </row>
    <row r="5" spans="2:17">
      <c r="B5" s="19">
        <v>63.429000000000002</v>
      </c>
      <c r="C5" s="37">
        <f>(D5/B5)</f>
        <v>6.3062636964164656E-2</v>
      </c>
      <c r="D5" s="37">
        <v>4</v>
      </c>
      <c r="E5" t="s">
        <v>81</v>
      </c>
      <c r="N5" t="s">
        <v>29</v>
      </c>
      <c r="O5" t="s">
        <v>1</v>
      </c>
      <c r="P5" t="s">
        <v>2</v>
      </c>
    </row>
    <row r="6" spans="2:17">
      <c r="B6" s="19">
        <v>-12.25728155</v>
      </c>
      <c r="C6" s="37">
        <f>(D6/B6)</f>
        <v>8.0228066556894906E-2</v>
      </c>
      <c r="D6" s="37">
        <v>-0.98337799999999997</v>
      </c>
      <c r="M6" t="s">
        <v>11</v>
      </c>
      <c r="N6" s="29">
        <f>(-B6)</f>
        <v>12.25728155</v>
      </c>
      <c r="O6" s="37">
        <f>(C6)</f>
        <v>8.0228066556894906E-2</v>
      </c>
      <c r="P6" s="37">
        <f>(O6*N6)</f>
        <v>0.98337799999999997</v>
      </c>
      <c r="Q6" t="s">
        <v>12</v>
      </c>
    </row>
    <row r="7" spans="2:17">
      <c r="B7" s="19">
        <v>-12.70325203</v>
      </c>
      <c r="C7" s="37">
        <f>(D7/B7)</f>
        <v>9.5823336979011353E-2</v>
      </c>
      <c r="D7" s="37">
        <v>-1.217268</v>
      </c>
      <c r="N7" s="29">
        <f>(-B7)</f>
        <v>12.70325203</v>
      </c>
      <c r="O7" s="37">
        <f>(C7)</f>
        <v>9.5823336979011353E-2</v>
      </c>
      <c r="P7" s="37">
        <f>(O7*N7)</f>
        <v>1.217268</v>
      </c>
      <c r="Q7" t="s">
        <v>12</v>
      </c>
    </row>
    <row r="8" spans="2:17">
      <c r="B8" s="19">
        <v>-12.62063846</v>
      </c>
      <c r="C8" s="37">
        <f>(D8/B8)</f>
        <v>0.13122973178014641</v>
      </c>
      <c r="D8" s="37">
        <v>-1.6562030000000001</v>
      </c>
      <c r="N8" s="29">
        <f>(-B8)</f>
        <v>12.62063846</v>
      </c>
      <c r="O8" s="37">
        <f>(C8)</f>
        <v>0.13122973178014641</v>
      </c>
      <c r="P8" s="37">
        <f>(O8*N8)</f>
        <v>1.6562030000000001</v>
      </c>
      <c r="Q8" t="s">
        <v>12</v>
      </c>
    </row>
    <row r="9" spans="2:17">
      <c r="C9" s="37"/>
      <c r="D9" s="37"/>
      <c r="F9" t="s">
        <v>9</v>
      </c>
      <c r="G9" s="37">
        <f>(D10/B10)</f>
        <v>5.5382216340006864E-3</v>
      </c>
      <c r="N9" s="29">
        <f>($B$5/5)</f>
        <v>12.6858</v>
      </c>
      <c r="O9" s="37">
        <f>($C$5*Params!K11)</f>
        <v>0.25225054785665862</v>
      </c>
      <c r="P9" s="37">
        <f>(O9*N9)</f>
        <v>3.2</v>
      </c>
    </row>
    <row r="10" spans="2:17">
      <c r="B10" s="19">
        <f>(SUM(B5:B9))</f>
        <v>25.847827959999996</v>
      </c>
      <c r="C10" s="37"/>
      <c r="D10" s="37">
        <f>(SUM(D5:D9))</f>
        <v>0.14315099999999981</v>
      </c>
      <c r="O10" s="37"/>
      <c r="P10" s="37"/>
    </row>
    <row r="11" spans="2:17">
      <c r="O11" s="37"/>
      <c r="P11" s="37">
        <f>(SUM(P6:P9))</f>
        <v>7.0568489999999997</v>
      </c>
    </row>
  </sheetData>
  <conditionalFormatting sqref="C5">
    <cfRule type="cellIs" dxfId="15" priority="7" operator="lessThan">
      <formula>$J$3</formula>
    </cfRule>
    <cfRule type="cellIs" dxfId="14" priority="8" operator="greaterThan">
      <formula>$J$3</formula>
    </cfRule>
  </conditionalFormatting>
  <conditionalFormatting sqref="G9">
    <cfRule type="cellIs" dxfId="13" priority="5" operator="lessThan">
      <formula>$J$3</formula>
    </cfRule>
    <cfRule type="cellIs" dxfId="12" priority="6" operator="greaterThan">
      <formula>$J$3</formula>
    </cfRule>
  </conditionalFormatting>
  <conditionalFormatting sqref="O9">
    <cfRule type="cellIs" dxfId="11" priority="3" operator="lessThan">
      <formula>$J$3</formula>
    </cfRule>
    <cfRule type="cellIs" dxfId="10" priority="4" operator="greaterThan">
      <formula>$J$3</formula>
    </cfRule>
  </conditionalFormatting>
  <conditionalFormatting sqref="O3">
    <cfRule type="cellIs" dxfId="9" priority="1" operator="greaterThan">
      <formula>$J$3</formula>
    </cfRule>
    <cfRule type="cellIs" dxfId="8" priority="2" operator="lessThan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>
  <dimension ref="B3:P12"/>
  <sheetViews>
    <sheetView workbookViewId="0">
      <selection activeCell="H24" sqref="H24"/>
    </sheetView>
  </sheetViews>
  <sheetFormatPr baseColWidth="10" defaultColWidth="9.140625" defaultRowHeight="15"/>
  <cols>
    <col min="2" max="2" width="8.5703125" style="14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7">
        <v>1.2296377900756741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7">
        <f>(B10*J3)</f>
        <v>3.5958531526363053</v>
      </c>
      <c r="K4" s="4">
        <f>(J4/D10-1)</f>
        <v>0.19861771754543511</v>
      </c>
    </row>
    <row r="5" spans="2:16">
      <c r="B5" s="29">
        <v>2.9243190000000001</v>
      </c>
      <c r="C5" s="37">
        <f>(D5/B5)</f>
        <v>1.0258798715188049</v>
      </c>
      <c r="D5" s="37">
        <v>3</v>
      </c>
      <c r="E5" t="s">
        <v>81</v>
      </c>
      <c r="N5" t="s">
        <v>29</v>
      </c>
      <c r="O5" t="s">
        <v>1</v>
      </c>
      <c r="P5" t="s">
        <v>2</v>
      </c>
    </row>
    <row r="6" spans="2:16">
      <c r="B6" s="24"/>
      <c r="C6" s="37"/>
      <c r="D6" s="37"/>
      <c r="M6" t="s">
        <v>11</v>
      </c>
      <c r="N6" s="24">
        <f>($B$5/5)</f>
        <v>0.58486380000000004</v>
      </c>
      <c r="O6" s="37">
        <f>($C$5*Params!K8)</f>
        <v>1.3336438329744464</v>
      </c>
      <c r="P6" s="37">
        <f>(O6*N6)</f>
        <v>0.78000000000000014</v>
      </c>
    </row>
    <row r="7" spans="2:16">
      <c r="B7" s="24"/>
      <c r="C7" s="37"/>
      <c r="D7" s="37"/>
      <c r="N7" s="24">
        <f>($B$5/5)</f>
        <v>0.58486380000000004</v>
      </c>
      <c r="O7" s="37">
        <f>($C$5*Params!K9)</f>
        <v>1.641407794430088</v>
      </c>
      <c r="P7" s="37">
        <f>(O7*N7)</f>
        <v>0.96000000000000019</v>
      </c>
    </row>
    <row r="8" spans="2:16">
      <c r="B8" s="24"/>
      <c r="C8" s="37"/>
      <c r="D8" s="37"/>
      <c r="N8" s="24">
        <f>($B$5/5)</f>
        <v>0.58486380000000004</v>
      </c>
      <c r="O8" s="37">
        <f>($C$5*Params!K10)</f>
        <v>2.2569357173413711</v>
      </c>
      <c r="P8" s="37">
        <f>(O8*N8)</f>
        <v>1.3200000000000003</v>
      </c>
    </row>
    <row r="9" spans="2:16">
      <c r="B9" s="24"/>
      <c r="C9" s="37"/>
      <c r="D9" s="37"/>
      <c r="F9" t="s">
        <v>9</v>
      </c>
      <c r="G9" s="37">
        <f>(D10/B10)</f>
        <v>1.0258798715188049</v>
      </c>
      <c r="H9" s="37"/>
      <c r="N9" s="24">
        <f>($B$5/5)</f>
        <v>0.58486380000000004</v>
      </c>
      <c r="O9" s="37">
        <f>($C$5*Params!K11)</f>
        <v>4.1035194860752195</v>
      </c>
      <c r="P9" s="37">
        <f>(O9*N9)</f>
        <v>2.4000000000000004</v>
      </c>
    </row>
    <row r="10" spans="2:16">
      <c r="B10" s="29">
        <f>(SUM(B5:B9))</f>
        <v>2.9243190000000001</v>
      </c>
      <c r="C10" s="37"/>
      <c r="D10" s="37">
        <f>(SUM(D5:D9))</f>
        <v>3</v>
      </c>
      <c r="O10" s="37"/>
      <c r="P10" s="37"/>
    </row>
    <row r="11" spans="2:16">
      <c r="C11" s="37"/>
      <c r="D11" s="37"/>
      <c r="O11" s="37"/>
      <c r="P11" s="37">
        <f>(SUM(P6:P9))</f>
        <v>5.4600000000000009</v>
      </c>
    </row>
    <row r="12" spans="2:16">
      <c r="O12" s="37"/>
      <c r="P12" s="37"/>
    </row>
  </sheetData>
  <conditionalFormatting sqref="C5">
    <cfRule type="cellIs" dxfId="7" priority="5" operator="lessThan">
      <formula>$J$3</formula>
    </cfRule>
    <cfRule type="cellIs" dxfId="6" priority="6" operator="greaterThan">
      <formula>$J$3</formula>
    </cfRule>
  </conditionalFormatting>
  <conditionalFormatting sqref="G9">
    <cfRule type="cellIs" dxfId="5" priority="3" operator="lessThan">
      <formula>$J$3</formula>
    </cfRule>
    <cfRule type="cellIs" dxfId="4" priority="4" operator="greaterThan">
      <formula>$J$3</formula>
    </cfRule>
  </conditionalFormatting>
  <conditionalFormatting sqref="O6:O9">
    <cfRule type="cellIs" dxfId="3" priority="1" operator="lessThan">
      <formula>$J$3</formula>
    </cfRule>
    <cfRule type="cellIs" dxfId="2" priority="2" operator="greaterThan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>
  <dimension ref="B3:P11"/>
  <sheetViews>
    <sheetView workbookViewId="0">
      <selection activeCell="B5" sqref="B5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5">
        <v>3.4555738992126171E-3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7">
        <f>(B10*J3)</f>
        <v>2.0712709951880428</v>
      </c>
      <c r="K4" s="4">
        <f>(J4/D10-1)</f>
        <v>-0.30957633493731906</v>
      </c>
    </row>
    <row r="5" spans="2:16">
      <c r="B5">
        <v>599.4</v>
      </c>
      <c r="C5" s="35">
        <f>(D5/B5)</f>
        <v>5.005005005005005E-3</v>
      </c>
      <c r="D5" s="37">
        <v>3</v>
      </c>
      <c r="E5" t="s">
        <v>81</v>
      </c>
      <c r="N5" t="s">
        <v>29</v>
      </c>
      <c r="O5" t="s">
        <v>1</v>
      </c>
      <c r="P5" t="s">
        <v>2</v>
      </c>
    </row>
    <row r="6" spans="2:16">
      <c r="C6" s="37"/>
      <c r="D6" s="37"/>
      <c r="M6" t="s">
        <v>11</v>
      </c>
      <c r="N6">
        <f>($B$5/5)</f>
        <v>119.88</v>
      </c>
      <c r="O6" s="35">
        <f>($C$5*Params!K8)</f>
        <v>6.5065065065065065E-3</v>
      </c>
      <c r="P6" s="37">
        <f>(O6*N6)</f>
        <v>0.77999999999999992</v>
      </c>
    </row>
    <row r="7" spans="2:16">
      <c r="C7" s="37"/>
      <c r="D7" s="37"/>
      <c r="N7">
        <f>($B$5/5)</f>
        <v>119.88</v>
      </c>
      <c r="O7" s="35">
        <f>($C$5*Params!K9)</f>
        <v>8.0080080080080079E-3</v>
      </c>
      <c r="P7" s="37">
        <f>(O7*N7)</f>
        <v>0.96</v>
      </c>
    </row>
    <row r="8" spans="2:16">
      <c r="C8" s="37"/>
      <c r="D8" s="37"/>
      <c r="N8">
        <f>($B$5/5)</f>
        <v>119.88</v>
      </c>
      <c r="O8" s="35">
        <f>($C$5*Params!K10)</f>
        <v>1.1011011011011013E-2</v>
      </c>
      <c r="P8" s="37">
        <f>(O8*N8)</f>
        <v>1.32</v>
      </c>
    </row>
    <row r="9" spans="2:16">
      <c r="C9" s="37"/>
      <c r="D9" s="37"/>
      <c r="F9" t="s">
        <v>9</v>
      </c>
      <c r="G9" s="37">
        <f>(D10/B10)</f>
        <v>5.005005005005005E-3</v>
      </c>
      <c r="N9">
        <f>($B$5/5)</f>
        <v>119.88</v>
      </c>
      <c r="O9" s="35">
        <f>($C$5*Params!K11)</f>
        <v>2.002002002002002E-2</v>
      </c>
      <c r="P9" s="37">
        <f>(O9*N9)</f>
        <v>2.4</v>
      </c>
    </row>
    <row r="10" spans="2:16">
      <c r="B10">
        <f>(SUM(B5:B9))</f>
        <v>599.4</v>
      </c>
      <c r="C10" s="37"/>
      <c r="D10" s="37">
        <f>(SUM(D5:D9))</f>
        <v>3</v>
      </c>
      <c r="O10" s="37"/>
      <c r="P10" s="37"/>
    </row>
    <row r="11" spans="2:16">
      <c r="O11" s="37"/>
      <c r="P11" s="37">
        <f>(SUM(P6:P9))</f>
        <v>5.4599999999999991</v>
      </c>
    </row>
  </sheetData>
  <conditionalFormatting sqref="C5 G9 O6:O9">
    <cfRule type="cellIs" dxfId="1" priority="5" operator="lessThan">
      <formula>$J$3</formula>
    </cfRule>
    <cfRule type="cellIs" dxfId="0" priority="6" operator="greaterThan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>
  <dimension ref="F8:P27"/>
  <sheetViews>
    <sheetView workbookViewId="0">
      <selection activeCell="L27" sqref="L27"/>
    </sheetView>
  </sheetViews>
  <sheetFormatPr baseColWidth="10" defaultColWidth="9.140625" defaultRowHeight="15"/>
  <sheetData>
    <row r="8" spans="6:16">
      <c r="F8">
        <v>0.06</v>
      </c>
      <c r="K8">
        <v>1.3</v>
      </c>
      <c r="L8">
        <v>0.2</v>
      </c>
      <c r="N8">
        <f>(L8*(K8-1))</f>
        <v>6.0000000000000012E-2</v>
      </c>
    </row>
    <row r="9" spans="6:16">
      <c r="K9">
        <v>1.6</v>
      </c>
      <c r="L9">
        <v>0.2</v>
      </c>
      <c r="N9">
        <f>(L9*(K9-1))</f>
        <v>0.12000000000000002</v>
      </c>
    </row>
    <row r="10" spans="6:16">
      <c r="K10">
        <v>2.2000000000000002</v>
      </c>
      <c r="L10">
        <v>0.2</v>
      </c>
      <c r="N10">
        <f>(L10*(K10-1))</f>
        <v>0.24000000000000005</v>
      </c>
    </row>
    <row r="11" spans="6:16">
      <c r="K11">
        <v>4</v>
      </c>
      <c r="L11">
        <v>0.2</v>
      </c>
      <c r="N11">
        <f>(L11*(K11-1))</f>
        <v>0.60000000000000009</v>
      </c>
    </row>
    <row r="12" spans="6:16">
      <c r="K12">
        <v>8</v>
      </c>
      <c r="L12">
        <v>0.2</v>
      </c>
      <c r="N12">
        <f>(L12*(K12-1))</f>
        <v>1.4000000000000001</v>
      </c>
    </row>
    <row r="13" spans="6:16">
      <c r="N13">
        <f>(SUM(N8:N12))</f>
        <v>2.4200000000000004</v>
      </c>
      <c r="O13">
        <f>(4/5+N13)</f>
        <v>3.2200000000000006</v>
      </c>
      <c r="P13">
        <f>(O13)</f>
        <v>3.2200000000000006</v>
      </c>
    </row>
    <row r="15" spans="6:16">
      <c r="K15">
        <v>1.5</v>
      </c>
      <c r="L15">
        <v>0.2</v>
      </c>
      <c r="N15">
        <f>(L15*(K15-1))</f>
        <v>0.1</v>
      </c>
    </row>
    <row r="16" spans="6:16">
      <c r="K16">
        <v>2</v>
      </c>
      <c r="L16">
        <v>0.2</v>
      </c>
      <c r="N16">
        <f>(L16*(K16-1))</f>
        <v>0.2</v>
      </c>
    </row>
    <row r="17" spans="11:16">
      <c r="K17">
        <v>4</v>
      </c>
      <c r="L17">
        <v>0.2</v>
      </c>
      <c r="N17">
        <f>(L17*(K17-1))</f>
        <v>0.60000000000000009</v>
      </c>
    </row>
    <row r="18" spans="11:16">
      <c r="K18">
        <v>8</v>
      </c>
      <c r="L18">
        <v>0.2</v>
      </c>
      <c r="N18">
        <f>(L18*(K18-1))</f>
        <v>1.4000000000000001</v>
      </c>
    </row>
    <row r="19" spans="11:16">
      <c r="K19">
        <v>16</v>
      </c>
      <c r="L19">
        <v>0.2</v>
      </c>
      <c r="N19">
        <f>(L19*(K19-1))</f>
        <v>3</v>
      </c>
    </row>
    <row r="20" spans="11:16">
      <c r="N20">
        <f>(SUM(N15:N19))</f>
        <v>5.3000000000000007</v>
      </c>
      <c r="O20">
        <f>(4/5+N20)</f>
        <v>6.1000000000000005</v>
      </c>
      <c r="P20">
        <f>(O20)</f>
        <v>6.1000000000000005</v>
      </c>
    </row>
    <row r="22" spans="11:16">
      <c r="K22">
        <v>1.3</v>
      </c>
      <c r="L22">
        <v>0.1</v>
      </c>
      <c r="N22">
        <f>(L22*(K22-1))</f>
        <v>3.0000000000000006E-2</v>
      </c>
    </row>
    <row r="23" spans="11:16">
      <c r="K23">
        <v>1.6</v>
      </c>
      <c r="L23">
        <v>0.2</v>
      </c>
      <c r="N23">
        <f>(L23*(K23-1))</f>
        <v>0.12000000000000002</v>
      </c>
    </row>
    <row r="24" spans="11:16">
      <c r="K24">
        <v>2.2000000000000002</v>
      </c>
      <c r="L24">
        <v>0.25</v>
      </c>
      <c r="N24">
        <f>(L24*(K24-1))</f>
        <v>0.30000000000000004</v>
      </c>
    </row>
    <row r="25" spans="11:16">
      <c r="K25">
        <v>4</v>
      </c>
      <c r="L25">
        <v>0.25</v>
      </c>
      <c r="N25">
        <f>(L25*(K25-1))</f>
        <v>0.75</v>
      </c>
    </row>
    <row r="26" spans="11:16">
      <c r="K26">
        <v>8</v>
      </c>
      <c r="L26">
        <v>0.2</v>
      </c>
      <c r="N26">
        <f>(L26*(K26-1))</f>
        <v>1.4000000000000001</v>
      </c>
    </row>
    <row r="27" spans="11:16">
      <c r="N27">
        <f>(SUM(N22:N26))</f>
        <v>2.6000000000000005</v>
      </c>
      <c r="O27">
        <f>(4/5+N27)</f>
        <v>3.4000000000000004</v>
      </c>
      <c r="P27">
        <f>(O27)</f>
        <v>3.4000000000000004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>
  <dimension ref="B3:P35"/>
  <sheetViews>
    <sheetView workbookViewId="0">
      <selection activeCell="E39" sqref="E39"/>
    </sheetView>
  </sheetViews>
  <sheetFormatPr baseColWidth="10" defaultColWidth="9.140625" defaultRowHeight="15"/>
  <cols>
    <col min="4" max="4" width="11" style="14" bestFit="1" customWidth="1"/>
    <col min="9" max="9" width="12.42578125" style="14" bestFit="1" customWidth="1"/>
    <col min="14" max="15" width="11.28515625" style="14" bestFit="1" customWidth="1"/>
  </cols>
  <sheetData>
    <row r="3" spans="2:16">
      <c r="I3" t="s">
        <v>3</v>
      </c>
      <c r="J3" s="37">
        <v>0.14928250473175739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7">
        <f>(B9*J3)</f>
        <v>0.90820490228706563</v>
      </c>
      <c r="K4" s="4">
        <f>(J4/D9-1)</f>
        <v>-0.96853887602990574</v>
      </c>
    </row>
    <row r="5" spans="2:16">
      <c r="B5" s="19">
        <v>1.5469999999999999</v>
      </c>
      <c r="C5" s="37">
        <v>10</v>
      </c>
      <c r="D5" s="37">
        <f>(B5*C5)</f>
        <v>15.469999999999999</v>
      </c>
      <c r="N5" t="s">
        <v>1</v>
      </c>
      <c r="O5" t="s">
        <v>29</v>
      </c>
      <c r="P5" t="s">
        <v>2</v>
      </c>
    </row>
    <row r="6" spans="2:16">
      <c r="B6" s="19">
        <v>2.5367999999999999</v>
      </c>
      <c r="C6" s="37">
        <v>3.9409999999999998</v>
      </c>
      <c r="D6" s="37">
        <f>(B6*C6)</f>
        <v>9.9975287999999995</v>
      </c>
      <c r="M6" t="s">
        <v>4</v>
      </c>
      <c r="N6" s="37">
        <f>(MIN(C5:C8)*2)</f>
        <v>3.4</v>
      </c>
      <c r="O6">
        <f>(INDEX(B5:B8,MATCH(N6/2,C5:C8,0)))</f>
        <v>2</v>
      </c>
      <c r="P6" s="37">
        <f>(N6*O6/2)</f>
        <v>3.4</v>
      </c>
    </row>
    <row r="7" spans="2:16">
      <c r="B7" s="19">
        <v>2</v>
      </c>
      <c r="C7" s="37">
        <v>1.7</v>
      </c>
      <c r="D7" s="37">
        <f>(B7*C7)</f>
        <v>3.4</v>
      </c>
    </row>
    <row r="8" spans="2:16">
      <c r="F8" t="s">
        <v>9</v>
      </c>
      <c r="G8" s="37">
        <f>(SUM(D5:D8)/SUM(B5:B8))</f>
        <v>4.744983201288667</v>
      </c>
    </row>
    <row r="9" spans="2:16">
      <c r="B9" s="19">
        <f>(SUM(B5:B8))</f>
        <v>6.0838000000000001</v>
      </c>
      <c r="D9" s="37">
        <f>(SUM(D5:D8))</f>
        <v>28.867528799999995</v>
      </c>
    </row>
    <row r="10" spans="2:16">
      <c r="D10" s="37"/>
      <c r="N10" t="s">
        <v>29</v>
      </c>
      <c r="O10" t="s">
        <v>1</v>
      </c>
      <c r="P10" t="s">
        <v>2</v>
      </c>
    </row>
    <row r="11" spans="2:16">
      <c r="M11" t="s">
        <v>11</v>
      </c>
      <c r="N11">
        <f>($B$5/5)</f>
        <v>0.30940000000000001</v>
      </c>
      <c r="O11" s="37">
        <f>($C$5*Params!K8)</f>
        <v>13</v>
      </c>
      <c r="P11" s="37">
        <f>(O11*N11)</f>
        <v>4.0221999999999998</v>
      </c>
    </row>
    <row r="12" spans="2:16">
      <c r="N12">
        <f>($B$5/5)</f>
        <v>0.30940000000000001</v>
      </c>
      <c r="O12" s="37">
        <f>($C$5*Params!K9)</f>
        <v>16</v>
      </c>
      <c r="P12" s="37">
        <f>(O12*N12)</f>
        <v>4.9504000000000001</v>
      </c>
    </row>
    <row r="13" spans="2:16">
      <c r="N13">
        <f>($B$5/5)</f>
        <v>0.30940000000000001</v>
      </c>
      <c r="O13" s="37">
        <f>($C$5*Params!K10)</f>
        <v>22</v>
      </c>
      <c r="P13" s="37">
        <f>(O13*N13)</f>
        <v>6.8068</v>
      </c>
    </row>
    <row r="14" spans="2:16">
      <c r="N14">
        <f>($B$5/5)</f>
        <v>0.30940000000000001</v>
      </c>
      <c r="O14" s="37">
        <f>($C$5*Params!K11)</f>
        <v>40</v>
      </c>
      <c r="P14" s="37">
        <f>(O14*N14)</f>
        <v>12.376000000000001</v>
      </c>
    </row>
    <row r="17" spans="13:16">
      <c r="P17" s="37">
        <f>(SUM(P11:P14))</f>
        <v>28.1554</v>
      </c>
    </row>
    <row r="19" spans="13:16">
      <c r="N19" t="s">
        <v>29</v>
      </c>
      <c r="O19" t="s">
        <v>1</v>
      </c>
      <c r="P19" t="s">
        <v>2</v>
      </c>
    </row>
    <row r="20" spans="13:16">
      <c r="M20" t="s">
        <v>11</v>
      </c>
      <c r="N20">
        <f>($B$6/5)</f>
        <v>0.50736000000000003</v>
      </c>
      <c r="O20" s="37">
        <f>($C$6*Params!K8)</f>
        <v>5.1232999999999995</v>
      </c>
      <c r="P20" s="37">
        <f>(O20*N20)</f>
        <v>2.5993574879999999</v>
      </c>
    </row>
    <row r="21" spans="13:16">
      <c r="N21">
        <f>($B$6/5)</f>
        <v>0.50736000000000003</v>
      </c>
      <c r="O21" s="37">
        <f>($C$6*Params!K9)</f>
        <v>6.3056000000000001</v>
      </c>
      <c r="P21" s="37">
        <f>(O21*N21)</f>
        <v>3.1992092160000003</v>
      </c>
    </row>
    <row r="22" spans="13:16">
      <c r="N22">
        <f>($B$6/5)</f>
        <v>0.50736000000000003</v>
      </c>
      <c r="O22" s="37">
        <f>($C$6*Params!K10)</f>
        <v>8.6701999999999995</v>
      </c>
      <c r="P22" s="37">
        <f>(O22*N22)</f>
        <v>4.3989126719999998</v>
      </c>
    </row>
    <row r="23" spans="13:16">
      <c r="N23">
        <f>($B$6/5)</f>
        <v>0.50736000000000003</v>
      </c>
      <c r="O23" s="37">
        <f>($C$6*Params!K11)</f>
        <v>15.763999999999999</v>
      </c>
      <c r="P23" s="37">
        <f>(O23*N23)</f>
        <v>7.9980230400000005</v>
      </c>
    </row>
    <row r="26" spans="13:16">
      <c r="P26" s="37">
        <f>(SUM(P20:P23))</f>
        <v>18.195502416</v>
      </c>
    </row>
    <row r="28" spans="13:16">
      <c r="N28" t="s">
        <v>29</v>
      </c>
      <c r="O28" t="s">
        <v>1</v>
      </c>
      <c r="P28" t="s">
        <v>2</v>
      </c>
    </row>
    <row r="29" spans="13:16">
      <c r="M29" t="s">
        <v>11</v>
      </c>
      <c r="N29">
        <f>($B$7/5)</f>
        <v>0.4</v>
      </c>
      <c r="O29" s="37">
        <f>($C$7*Params!K8)</f>
        <v>2.21</v>
      </c>
      <c r="P29" s="37">
        <f>(O29*N29)</f>
        <v>0.88400000000000001</v>
      </c>
    </row>
    <row r="30" spans="13:16">
      <c r="N30">
        <f>($B$7/5)</f>
        <v>0.4</v>
      </c>
      <c r="O30" s="37">
        <f>($C$7*Params!K9)</f>
        <v>2.72</v>
      </c>
      <c r="P30" s="37">
        <f>(O30*N30)</f>
        <v>1.0880000000000001</v>
      </c>
    </row>
    <row r="31" spans="13:16">
      <c r="N31">
        <f>($B$7/5)</f>
        <v>0.4</v>
      </c>
      <c r="O31" s="37">
        <f>($C$7*Params!K10)</f>
        <v>3.74</v>
      </c>
      <c r="P31" s="37">
        <f>(O31*N31)</f>
        <v>1.4960000000000002</v>
      </c>
    </row>
    <row r="32" spans="13:16">
      <c r="N32">
        <f>($B$7/5)</f>
        <v>0.4</v>
      </c>
      <c r="O32" s="37">
        <f>($C$7*Params!K11)</f>
        <v>6.8</v>
      </c>
      <c r="P32" s="37">
        <f>(O32*N32)</f>
        <v>2.72</v>
      </c>
    </row>
    <row r="35" spans="16:16">
      <c r="P35" s="37">
        <f>(SUM(P29:P32))</f>
        <v>6.1880000000000006</v>
      </c>
    </row>
  </sheetData>
  <conditionalFormatting sqref="C5:C7">
    <cfRule type="cellIs" dxfId="281" priority="9" operator="lessThan">
      <formula>$J$3</formula>
    </cfRule>
    <cfRule type="cellIs" dxfId="280" priority="10" operator="greaterThan">
      <formula>$J$3</formula>
    </cfRule>
  </conditionalFormatting>
  <conditionalFormatting sqref="O11:O14">
    <cfRule type="cellIs" dxfId="279" priority="7" operator="lessThan">
      <formula>$J$3</formula>
    </cfRule>
    <cfRule type="cellIs" dxfId="278" priority="8" operator="greaterThan">
      <formula>$J$3</formula>
    </cfRule>
  </conditionalFormatting>
  <conditionalFormatting sqref="O20:O23">
    <cfRule type="cellIs" dxfId="277" priority="5" operator="lessThan">
      <formula>$J$3</formula>
    </cfRule>
    <cfRule type="cellIs" dxfId="276" priority="6" operator="greaterThan">
      <formula>$J$3</formula>
    </cfRule>
  </conditionalFormatting>
  <conditionalFormatting sqref="O29:O32">
    <cfRule type="cellIs" dxfId="275" priority="3" operator="lessThan">
      <formula>$J$3</formula>
    </cfRule>
    <cfRule type="cellIs" dxfId="274" priority="4" operator="greaterThan">
      <formula>$J$3</formula>
    </cfRule>
  </conditionalFormatting>
  <conditionalFormatting sqref="N6">
    <cfRule type="cellIs" dxfId="273" priority="1" operator="lessThan">
      <formula>$J$3</formula>
    </cfRule>
    <cfRule type="cellIs" dxfId="272" priority="2" operator="greaterThan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>
  <dimension ref="B2:P74"/>
  <sheetViews>
    <sheetView workbookViewId="0">
      <selection activeCell="E70" sqref="E70"/>
    </sheetView>
  </sheetViews>
  <sheetFormatPr baseColWidth="10" defaultColWidth="9.140625" defaultRowHeight="15"/>
  <cols>
    <col min="2" max="2" width="12.5703125" style="14" bestFit="1" customWidth="1"/>
    <col min="3" max="3" width="9.7109375" style="14" bestFit="1" customWidth="1"/>
    <col min="5" max="5" width="9.7109375" style="14" bestFit="1" customWidth="1"/>
    <col min="6" max="6" width="11" style="14" bestFit="1" customWidth="1"/>
    <col min="7" max="7" width="17.140625" style="14" bestFit="1" customWidth="1"/>
    <col min="9" max="9" width="18.140625" style="14" bestFit="1" customWidth="1"/>
    <col min="10" max="10" width="12.7109375" style="14" bestFit="1" customWidth="1"/>
    <col min="11" max="11" width="12" style="14" bestFit="1" customWidth="1"/>
    <col min="15" max="15" width="9.5703125" style="14" bestFit="1" customWidth="1"/>
    <col min="16" max="16" width="10" style="14" bestFit="1" customWidth="1"/>
  </cols>
  <sheetData>
    <row r="2" spans="2:14">
      <c r="G2" t="s">
        <v>30</v>
      </c>
      <c r="H2">
        <v>522</v>
      </c>
    </row>
    <row r="3" spans="2:14">
      <c r="B3" s="5" t="s">
        <v>31</v>
      </c>
      <c r="C3" s="6"/>
      <c r="D3" s="6"/>
      <c r="E3" s="6"/>
      <c r="F3" s="7"/>
      <c r="I3" t="s">
        <v>32</v>
      </c>
      <c r="J3" s="28">
        <v>2.0809404876597141E-3</v>
      </c>
    </row>
    <row r="4" spans="2:14">
      <c r="B4" s="8"/>
      <c r="C4" t="s">
        <v>6</v>
      </c>
      <c r="D4" t="s">
        <v>33</v>
      </c>
      <c r="E4" t="s">
        <v>34</v>
      </c>
      <c r="F4" s="9" t="s">
        <v>35</v>
      </c>
      <c r="I4" t="s">
        <v>36</v>
      </c>
      <c r="J4">
        <v>6.1439999999999997E-4</v>
      </c>
      <c r="K4" t="s">
        <v>37</v>
      </c>
      <c r="N4" t="s">
        <v>38</v>
      </c>
    </row>
    <row r="5" spans="2:14">
      <c r="B5" s="8" t="s">
        <v>39</v>
      </c>
      <c r="C5" s="39">
        <v>135</v>
      </c>
      <c r="D5" s="37">
        <v>3.5</v>
      </c>
      <c r="E5" s="38">
        <f t="shared" ref="E5:E29" si="0">C5+D5</f>
        <v>138.5</v>
      </c>
      <c r="F5" s="9" t="s">
        <v>40</v>
      </c>
      <c r="I5" t="s">
        <v>41</v>
      </c>
      <c r="J5">
        <v>2.1503999999999998E-3</v>
      </c>
      <c r="K5" t="s">
        <v>37</v>
      </c>
      <c r="N5">
        <v>0.88</v>
      </c>
    </row>
    <row r="6" spans="2:14">
      <c r="B6" s="8" t="s">
        <v>42</v>
      </c>
      <c r="C6" s="39">
        <v>18</v>
      </c>
      <c r="D6" s="37">
        <v>3.5</v>
      </c>
      <c r="E6" s="38">
        <f t="shared" si="0"/>
        <v>21.5</v>
      </c>
      <c r="F6" s="9" t="s">
        <v>40</v>
      </c>
      <c r="I6" t="s">
        <v>43</v>
      </c>
      <c r="J6">
        <v>1.4335999999999999E-3</v>
      </c>
      <c r="K6" t="s">
        <v>37</v>
      </c>
    </row>
    <row r="7" spans="2:14">
      <c r="B7" s="8" t="s">
        <v>44</v>
      </c>
      <c r="C7" s="37">
        <v>18</v>
      </c>
      <c r="D7" s="37">
        <v>3.5</v>
      </c>
      <c r="E7" s="38">
        <f t="shared" si="0"/>
        <v>21.5</v>
      </c>
      <c r="F7" s="9" t="s">
        <v>40</v>
      </c>
      <c r="I7" t="s">
        <v>45</v>
      </c>
      <c r="J7">
        <v>1.7408E-3</v>
      </c>
      <c r="K7" t="s">
        <v>37</v>
      </c>
    </row>
    <row r="8" spans="2:14">
      <c r="B8" s="8" t="s">
        <v>46</v>
      </c>
      <c r="C8" s="37">
        <v>55</v>
      </c>
      <c r="D8" s="37">
        <v>3.5</v>
      </c>
      <c r="E8" s="38">
        <f t="shared" si="0"/>
        <v>58.5</v>
      </c>
      <c r="F8" s="9" t="s">
        <v>40</v>
      </c>
    </row>
    <row r="9" spans="2:14">
      <c r="B9" s="8" t="s">
        <v>46</v>
      </c>
      <c r="C9" s="37">
        <v>-134.99</v>
      </c>
      <c r="D9" s="37">
        <v>0.01</v>
      </c>
      <c r="E9" s="38">
        <f t="shared" si="0"/>
        <v>-134.98000000000002</v>
      </c>
      <c r="F9" s="9" t="s">
        <v>47</v>
      </c>
    </row>
    <row r="10" spans="2:14">
      <c r="B10" s="8" t="s">
        <v>46</v>
      </c>
      <c r="C10" s="37">
        <v>125</v>
      </c>
      <c r="D10" s="37">
        <f>0.002*151</f>
        <v>0.30199999999999999</v>
      </c>
      <c r="E10" s="38">
        <f t="shared" si="0"/>
        <v>125.30200000000001</v>
      </c>
      <c r="F10" s="9" t="s">
        <v>40</v>
      </c>
    </row>
    <row r="11" spans="2:14">
      <c r="B11" s="8" t="s">
        <v>46</v>
      </c>
      <c r="C11" s="37">
        <v>-144.96</v>
      </c>
      <c r="D11" s="37">
        <v>0.01</v>
      </c>
      <c r="E11" s="38">
        <f t="shared" si="0"/>
        <v>-144.95000000000002</v>
      </c>
      <c r="F11" s="9" t="s">
        <v>47</v>
      </c>
    </row>
    <row r="12" spans="2:14">
      <c r="B12" s="8" t="s">
        <v>46</v>
      </c>
      <c r="C12" s="37">
        <v>130</v>
      </c>
      <c r="D12" s="37">
        <f>0.002*151</f>
        <v>0.30199999999999999</v>
      </c>
      <c r="E12" s="38">
        <f t="shared" si="0"/>
        <v>130.30199999999999</v>
      </c>
      <c r="F12" s="9" t="s">
        <v>40</v>
      </c>
      <c r="I12" t="s">
        <v>48</v>
      </c>
      <c r="J12" s="37">
        <f>(SUM(D5:E8))</f>
        <v>254</v>
      </c>
    </row>
    <row r="13" spans="2:14">
      <c r="B13" s="8" t="s">
        <v>46</v>
      </c>
      <c r="C13" s="37">
        <v>-144.94999999999999</v>
      </c>
      <c r="D13" s="37">
        <v>0.01</v>
      </c>
      <c r="E13" s="38">
        <f t="shared" si="0"/>
        <v>-144.94</v>
      </c>
      <c r="F13" s="9" t="s">
        <v>47</v>
      </c>
      <c r="I13" t="s">
        <v>49</v>
      </c>
      <c r="J13" s="37">
        <f>(SUM(K34:K42)-C74*J3+D74)</f>
        <v>5.3672268289546281</v>
      </c>
    </row>
    <row r="14" spans="2:14">
      <c r="B14" s="8" t="s">
        <v>46</v>
      </c>
      <c r="C14" s="37">
        <v>130</v>
      </c>
      <c r="D14" s="37">
        <f>0.01</f>
        <v>0.01</v>
      </c>
      <c r="E14" s="38">
        <f t="shared" si="0"/>
        <v>130.01</v>
      </c>
      <c r="F14" s="9" t="s">
        <v>40</v>
      </c>
      <c r="I14" t="s">
        <v>50</v>
      </c>
      <c r="J14" s="37">
        <f>(-SUM(E9:E30))</f>
        <v>-14.953999999999938</v>
      </c>
      <c r="K14" s="38">
        <f>(J14-M37-M38-M39-M41-L42)</f>
        <v>-42.303999999999931</v>
      </c>
    </row>
    <row r="15" spans="2:14">
      <c r="B15" s="8" t="s">
        <v>46</v>
      </c>
      <c r="C15" s="37">
        <v>-144.97999999999999</v>
      </c>
      <c r="D15" s="37">
        <v>0.01</v>
      </c>
      <c r="E15" s="38">
        <f t="shared" si="0"/>
        <v>-144.97</v>
      </c>
      <c r="F15" s="9" t="s">
        <v>47</v>
      </c>
      <c r="I15" t="s">
        <v>34</v>
      </c>
      <c r="J15" s="37">
        <f>(J13-J12+J14)</f>
        <v>-263.58677317104531</v>
      </c>
    </row>
    <row r="16" spans="2:14">
      <c r="B16" s="8" t="s">
        <v>46</v>
      </c>
      <c r="C16" s="37">
        <v>130</v>
      </c>
      <c r="D16" s="37">
        <f>0.01</f>
        <v>0.01</v>
      </c>
      <c r="E16" s="38">
        <f t="shared" si="0"/>
        <v>130.01</v>
      </c>
      <c r="F16" s="9" t="s">
        <v>40</v>
      </c>
      <c r="I16" t="s">
        <v>51</v>
      </c>
      <c r="J16" s="37">
        <f>(J15+M46)</f>
        <v>-187.3167731710453</v>
      </c>
    </row>
    <row r="17" spans="2:14">
      <c r="B17" s="8" t="s">
        <v>44</v>
      </c>
      <c r="C17" s="37">
        <v>19.73</v>
      </c>
      <c r="D17" s="37">
        <v>0.28000000000000003</v>
      </c>
      <c r="E17" s="38">
        <f t="shared" si="0"/>
        <v>20.010000000000002</v>
      </c>
      <c r="F17" s="9" t="s">
        <v>40</v>
      </c>
    </row>
    <row r="18" spans="2:14">
      <c r="B18" s="8" t="s">
        <v>44</v>
      </c>
      <c r="C18" s="37">
        <v>38</v>
      </c>
      <c r="D18" s="37">
        <v>0.01</v>
      </c>
      <c r="E18" s="38">
        <f t="shared" si="0"/>
        <v>38.01</v>
      </c>
      <c r="F18" s="9" t="s">
        <v>52</v>
      </c>
    </row>
    <row r="19" spans="2:14">
      <c r="B19" s="8" t="s">
        <v>44</v>
      </c>
      <c r="C19" s="37">
        <v>11.25</v>
      </c>
      <c r="D19" s="37">
        <v>0.01</v>
      </c>
      <c r="E19" s="38">
        <f t="shared" si="0"/>
        <v>11.26</v>
      </c>
      <c r="F19" s="9" t="s">
        <v>40</v>
      </c>
    </row>
    <row r="20" spans="2:14">
      <c r="B20" s="8" t="s">
        <v>44</v>
      </c>
      <c r="C20" s="39">
        <v>8.02</v>
      </c>
      <c r="D20" s="37">
        <v>0.01</v>
      </c>
      <c r="E20" s="38">
        <f t="shared" si="0"/>
        <v>8.0299999999999994</v>
      </c>
      <c r="F20" s="9" t="s">
        <v>40</v>
      </c>
    </row>
    <row r="21" spans="2:14">
      <c r="B21" s="8" t="s">
        <v>42</v>
      </c>
      <c r="C21" s="37">
        <v>6.01</v>
      </c>
      <c r="D21" s="37">
        <v>0</v>
      </c>
      <c r="E21" s="38">
        <f t="shared" si="0"/>
        <v>6.01</v>
      </c>
      <c r="F21" s="9" t="s">
        <v>40</v>
      </c>
    </row>
    <row r="22" spans="2:14">
      <c r="B22" s="8" t="s">
        <v>46</v>
      </c>
      <c r="C22" s="37">
        <v>-30.99</v>
      </c>
      <c r="D22" s="37">
        <v>0</v>
      </c>
      <c r="E22" s="38">
        <f t="shared" si="0"/>
        <v>-30.99</v>
      </c>
      <c r="F22" s="9" t="s">
        <v>47</v>
      </c>
    </row>
    <row r="23" spans="2:14">
      <c r="B23" s="8" t="s">
        <v>46</v>
      </c>
      <c r="C23" s="37">
        <v>27.01</v>
      </c>
      <c r="D23" s="37">
        <v>0</v>
      </c>
      <c r="E23" s="38">
        <f t="shared" si="0"/>
        <v>27.01</v>
      </c>
      <c r="F23" s="9" t="s">
        <v>40</v>
      </c>
    </row>
    <row r="24" spans="2:14">
      <c r="B24" s="8" t="s">
        <v>46</v>
      </c>
      <c r="C24" s="37">
        <v>-47.22</v>
      </c>
      <c r="D24" s="37">
        <v>0</v>
      </c>
      <c r="E24" s="38">
        <f t="shared" si="0"/>
        <v>-47.22</v>
      </c>
      <c r="F24" s="9" t="s">
        <v>47</v>
      </c>
    </row>
    <row r="25" spans="2:14">
      <c r="B25" s="8" t="s">
        <v>46</v>
      </c>
      <c r="C25" s="37">
        <v>35.020000000000003</v>
      </c>
      <c r="D25" s="37">
        <v>0</v>
      </c>
      <c r="E25" s="38">
        <f t="shared" si="0"/>
        <v>35.020000000000003</v>
      </c>
      <c r="F25" s="9" t="s">
        <v>40</v>
      </c>
    </row>
    <row r="26" spans="2:14">
      <c r="B26" s="8" t="s">
        <v>46</v>
      </c>
      <c r="C26" s="37">
        <v>-59.99</v>
      </c>
      <c r="D26" s="37">
        <v>0</v>
      </c>
      <c r="E26" s="38">
        <f t="shared" si="0"/>
        <v>-59.99</v>
      </c>
      <c r="F26" s="9" t="s">
        <v>47</v>
      </c>
    </row>
    <row r="27" spans="2:14">
      <c r="B27" s="8" t="s">
        <v>46</v>
      </c>
      <c r="C27" s="39">
        <v>30.05</v>
      </c>
      <c r="D27" s="37">
        <v>0</v>
      </c>
      <c r="E27" s="38">
        <f t="shared" si="0"/>
        <v>30.05</v>
      </c>
      <c r="F27" s="9" t="s">
        <v>40</v>
      </c>
    </row>
    <row r="28" spans="2:14">
      <c r="B28" s="8" t="s">
        <v>46</v>
      </c>
      <c r="C28" s="39">
        <v>36.01</v>
      </c>
      <c r="D28" s="37">
        <v>0</v>
      </c>
      <c r="E28" s="38">
        <f t="shared" si="0"/>
        <v>36.01</v>
      </c>
      <c r="F28" s="9" t="s">
        <v>40</v>
      </c>
    </row>
    <row r="29" spans="2:14">
      <c r="B29" s="8" t="s">
        <v>42</v>
      </c>
      <c r="C29" s="37">
        <v>-8.0500000000000007</v>
      </c>
      <c r="D29" s="37">
        <v>0</v>
      </c>
      <c r="E29" s="38">
        <f t="shared" si="0"/>
        <v>-8.0500000000000007</v>
      </c>
      <c r="F29" s="9" t="s">
        <v>47</v>
      </c>
    </row>
    <row r="30" spans="2:14">
      <c r="B30" s="10" t="s">
        <v>44</v>
      </c>
      <c r="C30" s="11">
        <v>4</v>
      </c>
      <c r="D30" s="40">
        <v>0.01</v>
      </c>
      <c r="E30" s="40">
        <f>(C30+D30)</f>
        <v>4.01</v>
      </c>
      <c r="F30" s="12" t="s">
        <v>40</v>
      </c>
    </row>
    <row r="32" spans="2:14">
      <c r="B32" s="5" t="s">
        <v>53</v>
      </c>
      <c r="C32" s="6"/>
      <c r="D32" s="6"/>
      <c r="E32" s="6"/>
      <c r="F32" s="6"/>
      <c r="G32" s="6"/>
      <c r="H32" s="6"/>
      <c r="I32" s="6"/>
      <c r="J32" s="6"/>
      <c r="K32" s="7"/>
      <c r="L32" t="s">
        <v>54</v>
      </c>
      <c r="M32" t="s">
        <v>55</v>
      </c>
      <c r="N32" t="s">
        <v>35</v>
      </c>
    </row>
    <row r="33" spans="2:16">
      <c r="B33" s="8"/>
      <c r="C33" t="s">
        <v>56</v>
      </c>
      <c r="D33" t="s">
        <v>57</v>
      </c>
      <c r="E33" t="s">
        <v>58</v>
      </c>
      <c r="F33" t="s">
        <v>59</v>
      </c>
      <c r="G33" t="s">
        <v>60</v>
      </c>
      <c r="H33" s="13" t="s">
        <v>61</v>
      </c>
      <c r="I33" t="s">
        <v>62</v>
      </c>
      <c r="J33" t="s">
        <v>5</v>
      </c>
      <c r="K33" s="9" t="s">
        <v>63</v>
      </c>
    </row>
    <row r="34" spans="2:16">
      <c r="B34" s="8" t="s">
        <v>39</v>
      </c>
      <c r="C34">
        <v>6.2539999999999996</v>
      </c>
      <c r="D34">
        <f>$H$2</f>
        <v>522</v>
      </c>
      <c r="E34">
        <f t="shared" ref="E34:E40" si="1">C34*D34</f>
        <v>3264.5879999999997</v>
      </c>
      <c r="F34" s="29">
        <f t="shared" ref="F34:F40" si="2">E34*$N$5</f>
        <v>2872.8374399999998</v>
      </c>
      <c r="G34" s="37">
        <v>3.5</v>
      </c>
      <c r="H34" s="30">
        <f>G50</f>
        <v>1.5615590400000001</v>
      </c>
      <c r="I34" s="38">
        <f t="shared" ref="I34:I41" si="3">((F34-H34*D34)*$J$3-G34)</f>
        <v>0.78195877679261194</v>
      </c>
      <c r="J34">
        <v>1</v>
      </c>
      <c r="K34" s="41">
        <f t="shared" ref="K34:K40" si="4">I34*J34</f>
        <v>0.78195877679261194</v>
      </c>
      <c r="L34" s="31">
        <v>31.51</v>
      </c>
      <c r="M34" s="31">
        <f t="shared" ref="M34:M40" si="5">L34*J34</f>
        <v>31.51</v>
      </c>
    </row>
    <row r="35" spans="2:16">
      <c r="B35" s="8" t="s">
        <v>42</v>
      </c>
      <c r="C35">
        <v>0.96599999999999997</v>
      </c>
      <c r="D35">
        <f>$H$2</f>
        <v>522</v>
      </c>
      <c r="E35">
        <f t="shared" si="1"/>
        <v>504.25200000000001</v>
      </c>
      <c r="F35" s="29">
        <f t="shared" si="2"/>
        <v>443.74176</v>
      </c>
      <c r="G35" s="37">
        <v>3.5</v>
      </c>
      <c r="H35" s="30">
        <f>G51</f>
        <v>0.21337130135885166</v>
      </c>
      <c r="I35" s="38">
        <f t="shared" si="3"/>
        <v>-2.8083745810596086</v>
      </c>
      <c r="J35">
        <v>1</v>
      </c>
      <c r="K35" s="41">
        <f t="shared" si="4"/>
        <v>-2.8083745810596086</v>
      </c>
      <c r="L35" s="31">
        <v>4.1500000000000004</v>
      </c>
      <c r="M35" s="31">
        <f t="shared" si="5"/>
        <v>4.1500000000000004</v>
      </c>
    </row>
    <row r="36" spans="2:16">
      <c r="B36" s="8" t="s">
        <v>44</v>
      </c>
      <c r="C36">
        <v>0.85099999999999998</v>
      </c>
      <c r="D36">
        <f>$H$2</f>
        <v>522</v>
      </c>
      <c r="E36">
        <f t="shared" si="1"/>
        <v>444.22199999999998</v>
      </c>
      <c r="F36" s="29">
        <f t="shared" si="2"/>
        <v>390.91535999999996</v>
      </c>
      <c r="G36" s="37">
        <v>3.5</v>
      </c>
      <c r="H36" s="30">
        <f>G52</f>
        <v>0.18479602162162162</v>
      </c>
      <c r="I36" s="38">
        <f t="shared" si="3"/>
        <v>-2.8872632513170826</v>
      </c>
      <c r="J36">
        <v>1</v>
      </c>
      <c r="K36" s="41">
        <f t="shared" si="4"/>
        <v>-2.8872632513170826</v>
      </c>
      <c r="L36" s="31">
        <v>3.51</v>
      </c>
      <c r="M36" s="31">
        <f t="shared" si="5"/>
        <v>3.51</v>
      </c>
    </row>
    <row r="37" spans="2:16">
      <c r="B37" s="8" t="s">
        <v>44</v>
      </c>
      <c r="C37">
        <v>0.85099999999999998</v>
      </c>
      <c r="D37">
        <f>$H$2-34</f>
        <v>488</v>
      </c>
      <c r="E37">
        <f t="shared" si="1"/>
        <v>415.28800000000001</v>
      </c>
      <c r="F37" s="29">
        <f t="shared" si="2"/>
        <v>365.45344</v>
      </c>
      <c r="G37" s="37">
        <v>0</v>
      </c>
      <c r="H37" s="30">
        <f>G52</f>
        <v>0.18479602162162162</v>
      </c>
      <c r="I37" s="38">
        <f t="shared" si="3"/>
        <v>0.57282669225529437</v>
      </c>
      <c r="J37">
        <v>3</v>
      </c>
      <c r="K37" s="41">
        <f t="shared" si="4"/>
        <v>1.718480076765883</v>
      </c>
      <c r="L37" s="31">
        <f>L36</f>
        <v>3.51</v>
      </c>
      <c r="M37" s="31">
        <f t="shared" si="5"/>
        <v>10.53</v>
      </c>
    </row>
    <row r="38" spans="2:16">
      <c r="B38" s="8" t="s">
        <v>44</v>
      </c>
      <c r="C38">
        <v>0.85099999999999998</v>
      </c>
      <c r="D38">
        <f>$H$2-34-58</f>
        <v>430</v>
      </c>
      <c r="E38">
        <f t="shared" si="1"/>
        <v>365.93</v>
      </c>
      <c r="F38" s="29">
        <f t="shared" si="2"/>
        <v>322.01839999999999</v>
      </c>
      <c r="G38" s="37">
        <v>0</v>
      </c>
      <c r="H38" s="30">
        <f>H37</f>
        <v>0.18479602162162162</v>
      </c>
      <c r="I38" s="38">
        <f t="shared" si="3"/>
        <v>0.50474483129052572</v>
      </c>
      <c r="J38">
        <v>1</v>
      </c>
      <c r="K38" s="41">
        <f t="shared" si="4"/>
        <v>0.50474483129052572</v>
      </c>
      <c r="L38" s="31">
        <f>L37</f>
        <v>3.51</v>
      </c>
      <c r="M38" s="31">
        <f t="shared" si="5"/>
        <v>3.51</v>
      </c>
    </row>
    <row r="39" spans="2:16">
      <c r="B39" s="8" t="s">
        <v>44</v>
      </c>
      <c r="C39">
        <v>0.85099999999999998</v>
      </c>
      <c r="D39">
        <f>$H$2-140</f>
        <v>382</v>
      </c>
      <c r="E39">
        <f t="shared" si="1"/>
        <v>325.08199999999999</v>
      </c>
      <c r="F39" s="29">
        <f t="shared" si="2"/>
        <v>286.07216</v>
      </c>
      <c r="G39" s="37">
        <v>0</v>
      </c>
      <c r="H39" s="30">
        <f>H38</f>
        <v>0.18479602162162162</v>
      </c>
      <c r="I39" s="38">
        <f t="shared" si="3"/>
        <v>0.44840122221623452</v>
      </c>
      <c r="J39">
        <v>1</v>
      </c>
      <c r="K39" s="41">
        <f t="shared" si="4"/>
        <v>0.44840122221623452</v>
      </c>
      <c r="L39" s="31">
        <f>L38</f>
        <v>3.51</v>
      </c>
      <c r="M39" s="31">
        <f t="shared" si="5"/>
        <v>3.51</v>
      </c>
    </row>
    <row r="40" spans="2:16">
      <c r="B40" s="15" t="s">
        <v>42</v>
      </c>
      <c r="C40" s="16">
        <v>0.96599999999999997</v>
      </c>
      <c r="D40" s="16">
        <v>70</v>
      </c>
      <c r="E40" s="16">
        <f t="shared" si="1"/>
        <v>67.62</v>
      </c>
      <c r="F40" s="17">
        <f t="shared" si="2"/>
        <v>59.505600000000001</v>
      </c>
      <c r="G40" s="42">
        <v>0</v>
      </c>
      <c r="H40" s="32">
        <f>H35</f>
        <v>0.21337130135885166</v>
      </c>
      <c r="I40" s="42">
        <f t="shared" si="3"/>
        <v>9.2746703689324528E-2</v>
      </c>
      <c r="J40" s="16">
        <v>1</v>
      </c>
      <c r="K40" s="43">
        <f t="shared" si="4"/>
        <v>9.2746703689324528E-2</v>
      </c>
      <c r="L40" s="33">
        <v>0</v>
      </c>
      <c r="M40" s="33">
        <f t="shared" si="5"/>
        <v>0</v>
      </c>
      <c r="N40" t="s">
        <v>64</v>
      </c>
    </row>
    <row r="41" spans="2:16">
      <c r="B41" s="8" t="s">
        <v>44</v>
      </c>
      <c r="C41">
        <v>0.85099999999999998</v>
      </c>
      <c r="D41">
        <f>($H$2-274)</f>
        <v>248</v>
      </c>
      <c r="E41">
        <f>(C41*D41)</f>
        <v>211.048</v>
      </c>
      <c r="F41" s="29">
        <f>(E41*$N$5)</f>
        <v>185.72224</v>
      </c>
      <c r="G41" s="37">
        <v>0</v>
      </c>
      <c r="H41" s="29">
        <f>(H37)</f>
        <v>0.18479602162162162</v>
      </c>
      <c r="I41" s="38">
        <f t="shared" si="3"/>
        <v>0.29110864688383808</v>
      </c>
      <c r="J41">
        <v>1</v>
      </c>
      <c r="K41" s="41">
        <f>(I41*J41)</f>
        <v>0.29110864688383808</v>
      </c>
      <c r="L41" s="31">
        <f>(L39)</f>
        <v>3.51</v>
      </c>
      <c r="M41" s="31">
        <f>(L41*J41)</f>
        <v>3.51</v>
      </c>
    </row>
    <row r="42" spans="2:16">
      <c r="B42" s="8" t="s">
        <v>46</v>
      </c>
      <c r="H42" s="21"/>
      <c r="J42">
        <v>2</v>
      </c>
      <c r="K42" s="41"/>
      <c r="L42" s="31">
        <v>6.29</v>
      </c>
      <c r="M42" s="31">
        <f>L42*J42</f>
        <v>12.58</v>
      </c>
    </row>
    <row r="43" spans="2:16">
      <c r="B43" s="8" t="s">
        <v>65</v>
      </c>
      <c r="J43">
        <v>1</v>
      </c>
      <c r="K43" s="9"/>
      <c r="L43" s="31">
        <v>0.81</v>
      </c>
      <c r="M43" s="31">
        <f>(L43*J43)</f>
        <v>0.81</v>
      </c>
    </row>
    <row r="44" spans="2:16">
      <c r="B44" s="8" t="s">
        <v>66</v>
      </c>
      <c r="J44">
        <v>1</v>
      </c>
      <c r="K44" s="9"/>
      <c r="L44" s="31">
        <v>0.65</v>
      </c>
      <c r="M44" s="31">
        <f>(L44*J44)</f>
        <v>0.65</v>
      </c>
    </row>
    <row r="45" spans="2:16">
      <c r="B45" s="10" t="s">
        <v>67</v>
      </c>
      <c r="C45" s="11"/>
      <c r="D45" s="11"/>
      <c r="E45" s="11"/>
      <c r="F45" s="11"/>
      <c r="G45" s="11"/>
      <c r="H45" s="11"/>
      <c r="I45" s="11"/>
      <c r="J45" s="11">
        <v>1</v>
      </c>
      <c r="K45" s="12"/>
      <c r="L45" s="31">
        <v>2</v>
      </c>
      <c r="M45" s="31">
        <f>(L45*J45)</f>
        <v>2</v>
      </c>
    </row>
    <row r="46" spans="2:16">
      <c r="L46" t="s">
        <v>34</v>
      </c>
      <c r="M46" s="31">
        <f>(SUM(M33:M45))</f>
        <v>76.27000000000001</v>
      </c>
      <c r="O46" s="31">
        <f>(J13+SUM(G34:G40)-D74)</f>
        <v>0.56087482895462948</v>
      </c>
      <c r="P46">
        <f>(O46/J3)</f>
        <v>269.52949028609919</v>
      </c>
    </row>
    <row r="48" spans="2:16">
      <c r="B48" s="18" t="s">
        <v>61</v>
      </c>
      <c r="C48" s="6"/>
      <c r="D48" s="6"/>
      <c r="E48" s="6"/>
      <c r="F48" s="6"/>
      <c r="G48" s="7"/>
    </row>
    <row r="49" spans="2:7">
      <c r="B49" s="8"/>
      <c r="C49" t="s">
        <v>68</v>
      </c>
      <c r="D49" t="s">
        <v>69</v>
      </c>
      <c r="E49" t="s">
        <v>70</v>
      </c>
      <c r="F49" t="s">
        <v>71</v>
      </c>
      <c r="G49" s="9" t="s">
        <v>72</v>
      </c>
    </row>
    <row r="50" spans="2:7">
      <c r="B50" s="8" t="s">
        <v>39</v>
      </c>
      <c r="C50">
        <f>0.12*60*24</f>
        <v>172.79999999999998</v>
      </c>
      <c r="D50">
        <f>0.2*60*24</f>
        <v>288</v>
      </c>
      <c r="E50">
        <f>0.15*60*24</f>
        <v>216</v>
      </c>
      <c r="F50">
        <f>0.21*60*24</f>
        <v>302.39999999999998</v>
      </c>
      <c r="G50" s="34">
        <f>(C50*$J$4+D50*$J$5+E50*$J$6+F50*$J$7)</f>
        <v>1.5615590400000001</v>
      </c>
    </row>
    <row r="51" spans="2:7">
      <c r="B51" s="8" t="s">
        <v>42</v>
      </c>
      <c r="C51">
        <f>24/(1+1/24)</f>
        <v>23.04</v>
      </c>
      <c r="D51" s="19">
        <f>126/(3+5/24)</f>
        <v>39.272727272727273</v>
      </c>
      <c r="E51" s="19">
        <f>46/(38/24)</f>
        <v>29.05263157894737</v>
      </c>
      <c r="F51">
        <v>42</v>
      </c>
      <c r="G51" s="34">
        <f>(C51*$J$4+D51*$J$5+E51*$J$6+F51*$J$7)</f>
        <v>0.21337130135885166</v>
      </c>
    </row>
    <row r="52" spans="2:7">
      <c r="B52" s="8" t="s">
        <v>44</v>
      </c>
      <c r="C52">
        <f>21</f>
        <v>21</v>
      </c>
      <c r="D52" s="19">
        <f>87/3.33</f>
        <v>26.126126126126124</v>
      </c>
      <c r="E52">
        <f>74/2</f>
        <v>37</v>
      </c>
      <c r="F52">
        <v>36</v>
      </c>
      <c r="G52" s="34">
        <f>(C52*$J$4+D52*$J$5+E52*$J$6+F52*$J$7)</f>
        <v>0.18479602162162162</v>
      </c>
    </row>
    <row r="53" spans="2:7">
      <c r="B53" s="10" t="s">
        <v>46</v>
      </c>
      <c r="C53" s="11"/>
      <c r="D53" s="11"/>
      <c r="E53" s="11"/>
      <c r="F53" s="11"/>
      <c r="G53" s="12"/>
    </row>
    <row r="55" spans="2:7">
      <c r="B55" s="5" t="s">
        <v>73</v>
      </c>
      <c r="C55" s="6" t="s">
        <v>74</v>
      </c>
      <c r="D55" s="7" t="s">
        <v>75</v>
      </c>
    </row>
    <row r="56" spans="2:7">
      <c r="B56" s="8"/>
      <c r="C56" s="19">
        <v>138</v>
      </c>
      <c r="D56" s="9"/>
    </row>
    <row r="57" spans="2:7">
      <c r="B57" s="8"/>
      <c r="C57" s="19">
        <v>330</v>
      </c>
      <c r="D57" s="9"/>
    </row>
    <row r="58" spans="2:7">
      <c r="B58" s="8"/>
      <c r="C58" s="19">
        <v>327.51919355000001</v>
      </c>
      <c r="D58" s="9"/>
    </row>
    <row r="59" spans="2:7">
      <c r="B59" s="8"/>
      <c r="C59" s="19">
        <v>113.54742468000001</v>
      </c>
      <c r="D59" s="44">
        <v>1.1399999999999999</v>
      </c>
      <c r="E59" s="45">
        <f t="shared" ref="E59:E66" si="6">D59/C59</f>
        <v>1.0039857823396298E-2</v>
      </c>
    </row>
    <row r="60" spans="2:7">
      <c r="B60" s="8"/>
      <c r="C60" s="19">
        <v>130.53974622000001</v>
      </c>
      <c r="D60" s="44">
        <v>1.1793119999999999</v>
      </c>
      <c r="E60" s="45">
        <f t="shared" si="6"/>
        <v>9.0341220520874389E-3</v>
      </c>
    </row>
    <row r="61" spans="2:7">
      <c r="B61" s="8"/>
      <c r="C61" s="19">
        <v>167.40487411999999</v>
      </c>
      <c r="D61" s="44">
        <v>1.05481</v>
      </c>
      <c r="E61" s="45">
        <f t="shared" si="6"/>
        <v>6.3009515436443378E-3</v>
      </c>
    </row>
    <row r="62" spans="2:7">
      <c r="B62" s="8"/>
      <c r="C62" s="19">
        <v>167.96827999999999</v>
      </c>
      <c r="D62" s="44">
        <f>1.0512-0.00017</f>
        <v>1.0510299999999999</v>
      </c>
      <c r="E62" s="45">
        <f t="shared" si="6"/>
        <v>6.2573123925541178E-3</v>
      </c>
    </row>
    <row r="63" spans="2:7">
      <c r="B63" s="8"/>
      <c r="C63" s="19">
        <v>123.66</v>
      </c>
      <c r="D63" s="44">
        <v>1.0489999999999999</v>
      </c>
      <c r="E63" s="45">
        <f t="shared" si="6"/>
        <v>8.4829370855571719E-3</v>
      </c>
    </row>
    <row r="64" spans="2:7">
      <c r="B64" s="8"/>
      <c r="C64" s="19">
        <v>149.5</v>
      </c>
      <c r="D64" s="44">
        <v>1.17</v>
      </c>
      <c r="E64" s="45">
        <f t="shared" si="6"/>
        <v>7.826086956521738E-3</v>
      </c>
    </row>
    <row r="65" spans="2:5">
      <c r="B65" s="8"/>
      <c r="C65" s="19">
        <v>170.62</v>
      </c>
      <c r="D65" s="44">
        <v>1.1579999999999999</v>
      </c>
      <c r="E65" s="45">
        <f t="shared" si="6"/>
        <v>6.7870120736138783E-3</v>
      </c>
    </row>
    <row r="66" spans="2:5">
      <c r="B66" s="8"/>
      <c r="C66" s="19">
        <v>192.66</v>
      </c>
      <c r="D66" s="44">
        <v>1.0900000000000001</v>
      </c>
      <c r="E66" s="45">
        <f t="shared" si="6"/>
        <v>5.6576352122910834E-3</v>
      </c>
    </row>
    <row r="67" spans="2:5">
      <c r="B67" s="8"/>
      <c r="C67" s="19">
        <v>257.33999999999997</v>
      </c>
      <c r="D67" s="44">
        <v>1.1299999999999999</v>
      </c>
      <c r="E67" s="45">
        <f t="shared" ref="E67:E72" si="7">(D67/C67)</f>
        <v>4.3910779513484108E-3</v>
      </c>
    </row>
    <row r="68" spans="2:5">
      <c r="B68" s="8"/>
      <c r="C68" s="19">
        <v>312.13</v>
      </c>
      <c r="D68" s="44">
        <v>0.82</v>
      </c>
      <c r="E68" s="45">
        <f t="shared" si="7"/>
        <v>2.6271104988306155E-3</v>
      </c>
    </row>
    <row r="69" spans="2:5">
      <c r="B69" s="8"/>
      <c r="C69" s="19">
        <v>352.46100000000001</v>
      </c>
      <c r="D69" s="44">
        <v>1.2074</v>
      </c>
      <c r="E69" s="45">
        <f t="shared" si="7"/>
        <v>3.4256272325165053E-3</v>
      </c>
    </row>
    <row r="70" spans="2:5">
      <c r="B70" s="8"/>
      <c r="C70" s="19">
        <v>263.04000000000002</v>
      </c>
      <c r="D70" s="44">
        <v>1.0588</v>
      </c>
      <c r="E70" s="45">
        <f t="shared" si="7"/>
        <v>4.0252433090024325E-3</v>
      </c>
    </row>
    <row r="71" spans="2:5">
      <c r="B71" s="8"/>
      <c r="C71" s="19">
        <v>359.00495999999998</v>
      </c>
      <c r="D71" s="44">
        <v>1.1194999999999999</v>
      </c>
      <c r="E71" s="45">
        <f t="shared" si="7"/>
        <v>3.1183413176241355E-3</v>
      </c>
    </row>
    <row r="72" spans="2:5">
      <c r="B72" s="8"/>
      <c r="C72" s="19">
        <v>327.91</v>
      </c>
      <c r="D72" s="44">
        <v>1.0785</v>
      </c>
      <c r="E72" s="45">
        <f t="shared" si="7"/>
        <v>3.2890122289652647E-3</v>
      </c>
    </row>
    <row r="73" spans="2:5">
      <c r="B73" s="10"/>
      <c r="C73" s="11"/>
      <c r="D73" s="12"/>
    </row>
    <row r="74" spans="2:5">
      <c r="B74" t="s">
        <v>34</v>
      </c>
      <c r="C74" s="19">
        <f>(SUM(C56:C73))</f>
        <v>3883.3054785700006</v>
      </c>
      <c r="D74" s="37">
        <f>(SUM(D56:D73))</f>
        <v>15.306351999999999</v>
      </c>
    </row>
  </sheetData>
  <conditionalFormatting sqref="L34">
    <cfRule type="cellIs" dxfId="271" priority="17" operator="lessThan">
      <formula>$C$5</formula>
    </cfRule>
    <cfRule type="cellIs" dxfId="270" priority="18" operator="greaterThan">
      <formula>$C$5</formula>
    </cfRule>
  </conditionalFormatting>
  <conditionalFormatting sqref="L35">
    <cfRule type="cellIs" dxfId="269" priority="15" operator="lessThan">
      <formula>$C$6</formula>
    </cfRule>
    <cfRule type="cellIs" dxfId="268" priority="16" operator="greaterThan">
      <formula>$C$6</formula>
    </cfRule>
  </conditionalFormatting>
  <conditionalFormatting sqref="L39">
    <cfRule type="cellIs" dxfId="267" priority="13" operator="lessThan">
      <formula>$C$20</formula>
    </cfRule>
    <cfRule type="cellIs" dxfId="266" priority="14" operator="greaterThan">
      <formula>$C$20</formula>
    </cfRule>
  </conditionalFormatting>
  <conditionalFormatting sqref="L38">
    <cfRule type="cellIs" dxfId="265" priority="11" operator="lessThan">
      <formula>$C$19</formula>
    </cfRule>
    <cfRule type="cellIs" dxfId="264" priority="12" operator="greaterThan">
      <formula>$C$19</formula>
    </cfRule>
  </conditionalFormatting>
  <conditionalFormatting sqref="L37">
    <cfRule type="cellIs" dxfId="263" priority="9" operator="lessThan">
      <formula>$C$17</formula>
    </cfRule>
    <cfRule type="cellIs" dxfId="262" priority="10" operator="greaterThan">
      <formula>$C$17</formula>
    </cfRule>
  </conditionalFormatting>
  <conditionalFormatting sqref="L36">
    <cfRule type="cellIs" dxfId="261" priority="7" operator="lessThan">
      <formula>$C$7</formula>
    </cfRule>
    <cfRule type="cellIs" dxfId="260" priority="8" operator="greaterThan">
      <formula>$C$7</formula>
    </cfRule>
  </conditionalFormatting>
  <conditionalFormatting sqref="L41">
    <cfRule type="cellIs" dxfId="259" priority="5" operator="lessThan">
      <formula>$C$20</formula>
    </cfRule>
    <cfRule type="cellIs" dxfId="258" priority="6" operator="greaterThan">
      <formula>$C$20</formula>
    </cfRule>
  </conditionalFormatting>
  <conditionalFormatting sqref="L42">
    <cfRule type="cellIs" dxfId="257" priority="3" operator="lessThan">
      <formula>$C$20</formula>
    </cfRule>
    <cfRule type="cellIs" dxfId="256" priority="4" operator="greaterThan">
      <formula>$C$20</formula>
    </cfRule>
  </conditionalFormatting>
  <conditionalFormatting sqref="L43:L45">
    <cfRule type="cellIs" dxfId="255" priority="1" operator="lessThan">
      <formula>$C$7</formula>
    </cfRule>
    <cfRule type="cellIs" dxfId="254" priority="2" operator="greaterThan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>
  <dimension ref="B3:D4"/>
  <sheetViews>
    <sheetView workbookViewId="0">
      <selection activeCell="P14" sqref="P14"/>
    </sheetView>
  </sheetViews>
  <sheetFormatPr baseColWidth="10" defaultColWidth="9.140625" defaultRowHeight="15"/>
  <sheetData>
    <row r="3" spans="2:4">
      <c r="C3" t="s">
        <v>6</v>
      </c>
      <c r="D3" t="s">
        <v>33</v>
      </c>
    </row>
    <row r="4" spans="2:4">
      <c r="B4" t="s">
        <v>76</v>
      </c>
      <c r="C4" s="37">
        <f>(-60/3)</f>
        <v>-20</v>
      </c>
      <c r="D4" s="37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>
  <dimension ref="B3:G9"/>
  <sheetViews>
    <sheetView workbookViewId="0">
      <selection activeCell="S24" sqref="S24"/>
    </sheetView>
  </sheetViews>
  <sheetFormatPr baseColWidth="10" defaultColWidth="9.140625" defaultRowHeight="15"/>
  <sheetData>
    <row r="3" spans="2:7">
      <c r="G3">
        <v>70</v>
      </c>
    </row>
    <row r="4" spans="2:7">
      <c r="C4" t="s">
        <v>77</v>
      </c>
      <c r="D4" t="s">
        <v>6</v>
      </c>
      <c r="E4" t="s">
        <v>34</v>
      </c>
    </row>
    <row r="5" spans="2:7">
      <c r="B5" t="s">
        <v>78</v>
      </c>
      <c r="C5">
        <f>1.76*G3</f>
        <v>123.2</v>
      </c>
      <c r="D5" s="23">
        <v>0.01</v>
      </c>
      <c r="E5" s="23">
        <f>C5*D5</f>
        <v>1.232</v>
      </c>
    </row>
    <row r="6" spans="2:7">
      <c r="B6" t="s">
        <v>79</v>
      </c>
      <c r="C6">
        <f>48*(G3-2)</f>
        <v>3264</v>
      </c>
      <c r="D6" s="23">
        <v>1.4239999999999999E-4</v>
      </c>
      <c r="E6" s="23">
        <f>C6*D6</f>
        <v>0.46479359999999997</v>
      </c>
    </row>
    <row r="9" spans="2:7">
      <c r="E9" s="23">
        <f>SUM(E5:E8)</f>
        <v>1.6967935999999999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>
  <dimension ref="B2:U19"/>
  <sheetViews>
    <sheetView workbookViewId="0">
      <selection activeCell="N3" sqref="N3"/>
    </sheetView>
  </sheetViews>
  <sheetFormatPr baseColWidth="10" defaultColWidth="9.140625" defaultRowHeight="15"/>
  <cols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37">
        <v>0.36993429190601851</v>
      </c>
      <c r="M3" t="s">
        <v>4</v>
      </c>
      <c r="N3" s="1">
        <f>(INDEX((N6:N65),MATCH(O3/0.85,O6:O67,0))/0.9)</f>
        <v>0.44260069333333329</v>
      </c>
      <c r="O3" s="38">
        <f>(MAX(O6,O14)*0.85)</f>
        <v>0.27553002487402506</v>
      </c>
      <c r="P3" s="37">
        <f>(O3*N3)</f>
        <v>0.12194978004339406</v>
      </c>
    </row>
    <row r="4" spans="2:21">
      <c r="B4" t="s">
        <v>5</v>
      </c>
      <c r="C4" t="s">
        <v>6</v>
      </c>
      <c r="D4" t="s">
        <v>7</v>
      </c>
      <c r="I4" t="s">
        <v>8</v>
      </c>
      <c r="J4" s="37">
        <f>(B13*J3)</f>
        <v>27.533665432175567</v>
      </c>
      <c r="K4" s="4">
        <f>(J4/D13-1)</f>
        <v>5.9393099999308863E-2</v>
      </c>
      <c r="R4" t="s">
        <v>5</v>
      </c>
      <c r="S4" t="s">
        <v>6</v>
      </c>
      <c r="T4" t="s">
        <v>7</v>
      </c>
    </row>
    <row r="5" spans="2:21">
      <c r="B5" s="1">
        <v>1.9917031199999999</v>
      </c>
      <c r="C5" s="37">
        <f>(D5/B5)</f>
        <v>0.25104143031116005</v>
      </c>
      <c r="D5" s="37">
        <v>0.5</v>
      </c>
      <c r="N5" t="s">
        <v>29</v>
      </c>
      <c r="O5" t="s">
        <v>1</v>
      </c>
      <c r="P5" t="s">
        <v>2</v>
      </c>
      <c r="R5" s="29">
        <f>(B5-N6)</f>
        <v>1.5933624959999999</v>
      </c>
      <c r="S5" s="37">
        <f>(T5/R5)</f>
        <v>0.23276354527894269</v>
      </c>
      <c r="T5" s="37">
        <f>(D5-P6)</f>
        <v>0.37087670348346513</v>
      </c>
    </row>
    <row r="6" spans="2:21">
      <c r="B6" s="2">
        <v>0.27311658</v>
      </c>
      <c r="C6" s="39">
        <v>0</v>
      </c>
      <c r="D6" s="39">
        <f>(B6*C6)</f>
        <v>0</v>
      </c>
      <c r="E6" s="37">
        <f>(B6*J3)</f>
        <v>0.10103518863009346</v>
      </c>
      <c r="M6" t="s">
        <v>11</v>
      </c>
      <c r="N6" s="1">
        <f>($B$5/5)</f>
        <v>0.39834062399999998</v>
      </c>
      <c r="O6" s="37">
        <f>(C8)</f>
        <v>0.3241529704400295</v>
      </c>
      <c r="P6" s="37">
        <f>(O6*N6)</f>
        <v>0.1291232965165349</v>
      </c>
      <c r="Q6" t="s">
        <v>12</v>
      </c>
      <c r="R6" s="25">
        <f>(B6)</f>
        <v>0.27311658</v>
      </c>
      <c r="S6" s="39">
        <v>0</v>
      </c>
      <c r="T6" s="39">
        <f>(D6)</f>
        <v>0</v>
      </c>
      <c r="U6" s="37">
        <f>(R6*J3)</f>
        <v>0.10103518863009346</v>
      </c>
    </row>
    <row r="7" spans="2:21">
      <c r="B7" s="1">
        <v>75.279409999999999</v>
      </c>
      <c r="C7" s="37">
        <f>(D7/B7)</f>
        <v>0.3520218875254203</v>
      </c>
      <c r="D7" s="37">
        <v>26.5</v>
      </c>
      <c r="E7" t="s">
        <v>15</v>
      </c>
      <c r="N7" s="1">
        <f>($B$5/5)</f>
        <v>0.39834062399999998</v>
      </c>
      <c r="O7" s="37">
        <f>($C$5*Params!K9)</f>
        <v>0.40166628849785613</v>
      </c>
      <c r="P7" s="37">
        <f>(O7*N7)</f>
        <v>0.16000000000000003</v>
      </c>
      <c r="R7" s="29">
        <f>(B7-N14)</f>
        <v>72.562050623999994</v>
      </c>
      <c r="S7" s="37">
        <f>(T7/R7)</f>
        <v>0.35491334011451081</v>
      </c>
      <c r="T7" s="37">
        <f>(D7+0.274811*-N14)</f>
        <v>25.753239752522063</v>
      </c>
      <c r="U7" t="s">
        <v>15</v>
      </c>
    </row>
    <row r="8" spans="2:21">
      <c r="B8" s="1">
        <v>-3.1156999999999999</v>
      </c>
      <c r="C8" s="37">
        <f>(D8/B8)</f>
        <v>0.3241529704400295</v>
      </c>
      <c r="D8" s="37">
        <v>-1.0099634099999999</v>
      </c>
      <c r="N8" s="1">
        <f>($B$5/5)</f>
        <v>0.39834062399999998</v>
      </c>
      <c r="O8" s="37">
        <f>($C$5*Params!K10)</f>
        <v>0.55229114668455215</v>
      </c>
      <c r="P8" s="37">
        <f>(O8*N8)</f>
        <v>0.22000000000000003</v>
      </c>
      <c r="R8" s="29">
        <f>(N14-N14)</f>
        <v>0</v>
      </c>
      <c r="S8" s="37">
        <v>0</v>
      </c>
      <c r="T8" s="37">
        <f>(0.274811*N14-P14)</f>
        <v>-0.1340798660055289</v>
      </c>
    </row>
    <row r="9" spans="2:21">
      <c r="N9" s="1">
        <f>($B$5/5)</f>
        <v>0.39834062399999998</v>
      </c>
      <c r="O9" s="37">
        <f>($C$5*Params!K11)</f>
        <v>1.0041657212446402</v>
      </c>
      <c r="P9" s="37">
        <f>(O9*N9)</f>
        <v>0.4</v>
      </c>
    </row>
    <row r="10" spans="2:21">
      <c r="N10" s="1"/>
      <c r="P10" s="37"/>
    </row>
    <row r="11" spans="2:21">
      <c r="P11" s="37">
        <f>(SUM(P6:P9))</f>
        <v>0.9091232965165349</v>
      </c>
    </row>
    <row r="12" spans="2:21">
      <c r="F12" t="s">
        <v>9</v>
      </c>
      <c r="G12" s="37">
        <f>(D13/B13)</f>
        <v>0.34919454535456179</v>
      </c>
    </row>
    <row r="13" spans="2:21">
      <c r="B13">
        <f>(SUM(B5:B12))</f>
        <v>74.428529699999999</v>
      </c>
      <c r="D13" s="37">
        <f>(SUM(D5:D12))</f>
        <v>25.990036589999999</v>
      </c>
      <c r="M13" t="s">
        <v>15</v>
      </c>
      <c r="N13" t="s">
        <v>29</v>
      </c>
      <c r="O13" t="s">
        <v>1</v>
      </c>
      <c r="P13" t="s">
        <v>2</v>
      </c>
      <c r="R13">
        <f>(SUM(R5:R12))</f>
        <v>74.428529699999999</v>
      </c>
      <c r="T13" s="37">
        <f>(SUM(T5:T12))</f>
        <v>25.990036589999999</v>
      </c>
    </row>
    <row r="14" spans="2:21">
      <c r="M14" t="s">
        <v>11</v>
      </c>
      <c r="N14" s="1">
        <f>(-B8-N6)</f>
        <v>2.7173593760000001</v>
      </c>
      <c r="O14" s="37">
        <f>(C8)</f>
        <v>0.3241529704400295</v>
      </c>
      <c r="P14" s="37">
        <f>(O14*N14)</f>
        <v>0.88084011348346503</v>
      </c>
      <c r="Q14" t="s">
        <v>12</v>
      </c>
    </row>
    <row r="15" spans="2:21">
      <c r="N15" s="1">
        <f>(2*($R$7+N14+R5+R6)/5-N14)</f>
        <v>28.140996254400001</v>
      </c>
      <c r="O15" s="37">
        <f>($S$7*Params!K9)</f>
        <v>0.56786134418321732</v>
      </c>
      <c r="P15" s="37">
        <f>(O15*N15)</f>
        <v>15.980183959678468</v>
      </c>
    </row>
    <row r="16" spans="2:21">
      <c r="N16" s="1">
        <f>(($B$7+R6+R5)/5)</f>
        <v>15.429177815200001</v>
      </c>
      <c r="O16" s="37">
        <f>($C$7*Params!K10)</f>
        <v>0.7744481525559247</v>
      </c>
      <c r="P16" s="37">
        <f>(O16*N16)</f>
        <v>11.9490982544385</v>
      </c>
    </row>
    <row r="17" spans="14:16">
      <c r="N17" s="1">
        <f>(($B$7+R6+R5)/5)</f>
        <v>15.429177815200001</v>
      </c>
      <c r="O17" s="37">
        <f>($C$7*Params!K11)</f>
        <v>1.4080875501016812</v>
      </c>
      <c r="P17" s="37">
        <f>(O17*N17)</f>
        <v>21.725633189888178</v>
      </c>
    </row>
    <row r="18" spans="14:16">
      <c r="N18" s="1"/>
      <c r="P18" s="37"/>
    </row>
    <row r="19" spans="14:16">
      <c r="P19" s="37">
        <f>(SUM(P14:P17))</f>
        <v>50.53575551748861</v>
      </c>
    </row>
  </sheetData>
  <conditionalFormatting sqref="C5 C7">
    <cfRule type="cellIs" dxfId="253" priority="13" operator="lessThan">
      <formula>$J$3</formula>
    </cfRule>
    <cfRule type="cellIs" dxfId="252" priority="14" operator="greaterThan">
      <formula>$J$3</formula>
    </cfRule>
  </conditionalFormatting>
  <conditionalFormatting sqref="O7:O9">
    <cfRule type="cellIs" dxfId="251" priority="11" operator="lessThan">
      <formula>$J$3</formula>
    </cfRule>
    <cfRule type="cellIs" dxfId="250" priority="12" operator="greaterThan">
      <formula>$J$3</formula>
    </cfRule>
  </conditionalFormatting>
  <conditionalFormatting sqref="O15:O17">
    <cfRule type="cellIs" dxfId="249" priority="9" operator="lessThan">
      <formula>$J$3</formula>
    </cfRule>
    <cfRule type="cellIs" dxfId="248" priority="10" operator="greaterThan">
      <formula>$J$3</formula>
    </cfRule>
  </conditionalFormatting>
  <conditionalFormatting sqref="S5">
    <cfRule type="cellIs" dxfId="247" priority="7" operator="lessThan">
      <formula>$J$3</formula>
    </cfRule>
    <cfRule type="cellIs" dxfId="246" priority="8" operator="greaterThan">
      <formula>$J$3</formula>
    </cfRule>
  </conditionalFormatting>
  <conditionalFormatting sqref="S7">
    <cfRule type="cellIs" dxfId="245" priority="5" operator="lessThan">
      <formula>$J$3</formula>
    </cfRule>
    <cfRule type="cellIs" dxfId="244" priority="6" operator="greaterThan">
      <formula>$J$3</formula>
    </cfRule>
  </conditionalFormatting>
  <conditionalFormatting sqref="O3">
    <cfRule type="cellIs" dxfId="243" priority="3" operator="greaterThan">
      <formula>$J$3</formula>
    </cfRule>
    <cfRule type="cellIs" dxfId="242" priority="4" operator="lessThan">
      <formula>$J$3</formula>
    </cfRule>
  </conditionalFormatting>
  <conditionalFormatting sqref="G12">
    <cfRule type="cellIs" dxfId="241" priority="1" operator="lessThan">
      <formula>$J$3</formula>
    </cfRule>
    <cfRule type="cellIs" dxfId="240" priority="2" operator="greaterThan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>
  <dimension ref="B3:U20"/>
  <sheetViews>
    <sheetView workbookViewId="0">
      <selection activeCell="B6" sqref="B6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5" max="15" width="11.28515625" style="14" bestFit="1" customWidth="1"/>
  </cols>
  <sheetData>
    <row r="3" spans="2:21">
      <c r="I3" t="s">
        <v>3</v>
      </c>
      <c r="J3" s="35">
        <v>0.16280551966754739</v>
      </c>
      <c r="O3" s="38"/>
      <c r="P3" s="37"/>
    </row>
    <row r="4" spans="2:21">
      <c r="B4" t="s">
        <v>5</v>
      </c>
      <c r="C4" t="s">
        <v>6</v>
      </c>
      <c r="D4" t="s">
        <v>7</v>
      </c>
      <c r="I4" t="s">
        <v>8</v>
      </c>
      <c r="J4" s="37">
        <f>(B14*J3)</f>
        <v>10.258768870270792</v>
      </c>
      <c r="K4" s="4">
        <f>(J4/D14-1)</f>
        <v>4.4057690017976325E-2</v>
      </c>
      <c r="R4" t="s">
        <v>5</v>
      </c>
      <c r="S4" t="s">
        <v>6</v>
      </c>
      <c r="T4" t="s">
        <v>7</v>
      </c>
    </row>
    <row r="5" spans="2:21">
      <c r="B5" s="29">
        <v>60.14</v>
      </c>
      <c r="C5" s="37">
        <f>(D5/B5)</f>
        <v>0.16877286331892252</v>
      </c>
      <c r="D5" s="37">
        <v>10.15</v>
      </c>
      <c r="N5" t="s">
        <v>29</v>
      </c>
      <c r="O5" t="s">
        <v>1</v>
      </c>
      <c r="P5" t="s">
        <v>2</v>
      </c>
      <c r="R5" s="29">
        <f>(B5)</f>
        <v>60.14</v>
      </c>
      <c r="S5" s="37">
        <f>(T5/R5)</f>
        <v>0.16877286331892252</v>
      </c>
      <c r="T5" s="37">
        <f>D5</f>
        <v>10.15</v>
      </c>
    </row>
    <row r="6" spans="2:21">
      <c r="B6" s="25">
        <v>0.26960484000000001</v>
      </c>
      <c r="C6" s="39">
        <v>0</v>
      </c>
      <c r="D6" s="39">
        <f>(B6*C6)</f>
        <v>0</v>
      </c>
      <c r="E6" s="37">
        <f>(B6*J3)</f>
        <v>4.3893156081085967E-2</v>
      </c>
      <c r="M6" t="s">
        <v>11</v>
      </c>
      <c r="N6" s="29">
        <f>($B$14/5)</f>
        <v>12.602482878</v>
      </c>
      <c r="O6" s="37">
        <f>($C$5*Params!K8)</f>
        <v>0.21940472231459929</v>
      </c>
      <c r="P6" s="37">
        <f>(O6*N6)</f>
        <v>2.7650442563220818</v>
      </c>
      <c r="R6" s="25">
        <f>(B6)</f>
        <v>0.26960484000000001</v>
      </c>
      <c r="S6" s="39">
        <v>0</v>
      </c>
      <c r="T6" s="39">
        <f>(D6)</f>
        <v>0</v>
      </c>
      <c r="U6" s="37">
        <f>(E6)</f>
        <v>4.3893156081085967E-2</v>
      </c>
    </row>
    <row r="7" spans="2:21">
      <c r="B7" s="29">
        <v>-12.028</v>
      </c>
      <c r="C7" s="37">
        <f>(D7/B7)</f>
        <v>0.21200000000000002</v>
      </c>
      <c r="D7" s="37">
        <v>-2.5499360000000002</v>
      </c>
      <c r="N7" s="29">
        <f>($B$14/5)</f>
        <v>12.602482878</v>
      </c>
      <c r="O7" s="37">
        <f>($C$5*Params!K9)</f>
        <v>0.27003658131027602</v>
      </c>
      <c r="P7" s="37">
        <f>(O7*N7)</f>
        <v>3.4031313923964084</v>
      </c>
      <c r="R7" s="29">
        <f>SUM(B7:B10)</f>
        <v>2.6028095500000017</v>
      </c>
      <c r="S7" s="37">
        <v>0</v>
      </c>
      <c r="T7" s="37">
        <f>SUM(D7:D10)</f>
        <v>-0.3241360000000002</v>
      </c>
      <c r="U7" s="38"/>
    </row>
    <row r="8" spans="2:21">
      <c r="B8" s="29">
        <v>-12</v>
      </c>
      <c r="C8" s="37">
        <f>(D8/B8)</f>
        <v>0.255</v>
      </c>
      <c r="D8" s="37">
        <v>-3.06</v>
      </c>
      <c r="N8" s="29">
        <f>($B$14/5)</f>
        <v>12.602482878</v>
      </c>
      <c r="O8" s="37">
        <f>($C$5*Params!K10)</f>
        <v>0.37130029930162955</v>
      </c>
      <c r="P8" s="37">
        <f>(O8*N8)</f>
        <v>4.6793056645450619</v>
      </c>
      <c r="R8" s="29"/>
      <c r="S8" s="37"/>
      <c r="T8" s="37"/>
    </row>
    <row r="9" spans="2:21">
      <c r="B9" s="29">
        <v>13.39371616</v>
      </c>
      <c r="C9" s="37">
        <f>(D9/B9)</f>
        <v>0.21471262834346938</v>
      </c>
      <c r="D9" s="37">
        <v>2.8757999999999999</v>
      </c>
      <c r="N9" s="29">
        <f>($B$14/5)</f>
        <v>12.602482878</v>
      </c>
      <c r="O9" s="37">
        <f>($C$5*Params!K11)</f>
        <v>0.67509145327569009</v>
      </c>
      <c r="P9" s="37">
        <f>(O9*N9)</f>
        <v>8.5078284809910212</v>
      </c>
    </row>
    <row r="10" spans="2:21">
      <c r="B10" s="29">
        <v>13.23709339</v>
      </c>
      <c r="C10" s="37">
        <f>(D10/B10)</f>
        <v>0.18206413817557876</v>
      </c>
      <c r="D10" s="37">
        <v>2.41</v>
      </c>
    </row>
    <row r="12" spans="2:21">
      <c r="P12" s="37">
        <f>(SUM(P6:P9))</f>
        <v>19.355309794254573</v>
      </c>
    </row>
    <row r="13" spans="2:21">
      <c r="F13" t="s">
        <v>9</v>
      </c>
      <c r="G13" s="37">
        <f>(D14/B14)</f>
        <v>0.15593536757987411</v>
      </c>
    </row>
    <row r="14" spans="2:21">
      <c r="B14" s="29">
        <f>(SUM(B5:B13))</f>
        <v>63.012414390000004</v>
      </c>
      <c r="D14" s="37">
        <f>(SUM(D5:D13))</f>
        <v>9.8258639999999993</v>
      </c>
    </row>
    <row r="17" spans="11:20">
      <c r="N17" s="29"/>
      <c r="R17" s="29">
        <f>(SUM(R5:R16))</f>
        <v>63.012414390000004</v>
      </c>
      <c r="T17" s="37">
        <f>(SUM(T5:T16))</f>
        <v>9.8258639999999993</v>
      </c>
    </row>
    <row r="20" spans="11:20">
      <c r="K20" s="38"/>
    </row>
  </sheetData>
  <conditionalFormatting sqref="C5">
    <cfRule type="cellIs" dxfId="239" priority="13" operator="lessThan">
      <formula>$J$3</formula>
    </cfRule>
    <cfRule type="cellIs" dxfId="238" priority="14" operator="greaterThan">
      <formula>$J$3</formula>
    </cfRule>
  </conditionalFormatting>
  <conditionalFormatting sqref="C9:C10">
    <cfRule type="cellIs" dxfId="237" priority="11" operator="lessThan">
      <formula>$J$3</formula>
    </cfRule>
    <cfRule type="cellIs" dxfId="236" priority="12" operator="greaterThan">
      <formula>$J$3</formula>
    </cfRule>
  </conditionalFormatting>
  <conditionalFormatting sqref="O6:O9">
    <cfRule type="cellIs" dxfId="235" priority="9" operator="lessThan">
      <formula>$J$3</formula>
    </cfRule>
    <cfRule type="cellIs" dxfId="234" priority="10" operator="greaterThan">
      <formula>$J$3</formula>
    </cfRule>
  </conditionalFormatting>
  <conditionalFormatting sqref="S5 S7:S8">
    <cfRule type="cellIs" dxfId="233" priority="5" operator="lessThan">
      <formula>$J$3</formula>
    </cfRule>
    <cfRule type="cellIs" dxfId="232" priority="6" operator="greaterThan">
      <formula>$J$3</formula>
    </cfRule>
  </conditionalFormatting>
  <conditionalFormatting sqref="O6">
    <cfRule type="cellIs" dxfId="231" priority="3" operator="lessThan">
      <formula>$J$3</formula>
    </cfRule>
    <cfRule type="cellIs" dxfId="230" priority="4" operator="greaterThan">
      <formula>$J$3</formula>
    </cfRule>
  </conditionalFormatting>
  <conditionalFormatting sqref="G13">
    <cfRule type="cellIs" dxfId="229" priority="1" operator="lessThan">
      <formula>$J$3</formula>
    </cfRule>
    <cfRule type="cellIs" dxfId="228" priority="2" operator="greaterThan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35</vt:i4>
      </vt:variant>
    </vt:vector>
  </HeadingPairs>
  <TitlesOfParts>
    <vt:vector size="35" baseType="lpstr">
      <vt:lpstr>ETH</vt:lpstr>
      <vt:lpstr>BTC</vt:lpstr>
      <vt:lpstr>DefiCake</vt:lpstr>
      <vt:lpstr>POLIS</vt:lpstr>
      <vt:lpstr>ATLAS</vt:lpstr>
      <vt:lpstr>BIGTIME</vt:lpstr>
      <vt:lpstr>Ayman</vt:lpstr>
      <vt:lpstr>ADA</vt:lpstr>
      <vt:lpstr>ALGO</vt:lpstr>
      <vt:lpstr>APE</vt:lpstr>
      <vt:lpstr>ATOM</vt:lpstr>
      <vt:lpstr>AVAX</vt:lpstr>
      <vt:lpstr>AMP</vt:lpstr>
      <vt:lpstr>BNB</vt:lpstr>
      <vt:lpstr>DOGE</vt:lpstr>
      <vt:lpstr>DOT</vt:lpstr>
      <vt:lpstr>EGLD</vt:lpstr>
      <vt:lpstr>ICP</vt:lpstr>
      <vt:lpstr>LDO</vt:lpstr>
      <vt:lpstr>LINK</vt:lpstr>
      <vt:lpstr>LTC</vt:lpstr>
      <vt:lpstr>LUNA</vt:lpstr>
      <vt:lpstr>LUNC</vt:lpstr>
      <vt:lpstr>MATIC</vt:lpstr>
      <vt:lpstr>MINA</vt:lpstr>
      <vt:lpstr>NEAR</vt:lpstr>
      <vt:lpstr>SHIB</vt:lpstr>
      <vt:lpstr>SOL</vt:lpstr>
      <vt:lpstr>TRX</vt:lpstr>
      <vt:lpstr>UNI</vt:lpstr>
      <vt:lpstr>XRP</vt:lpstr>
      <vt:lpstr>GRT</vt:lpstr>
      <vt:lpstr>KAVA</vt:lpstr>
      <vt:lpstr>SHPING</vt:lpstr>
      <vt:lpstr>Params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Tiko</cp:lastModifiedBy>
  <dcterms:created xsi:type="dcterms:W3CDTF">2023-04-24T23:20:17Z</dcterms:created>
  <dcterms:modified xsi:type="dcterms:W3CDTF">2023-05-23T18:10:50Z</dcterms:modified>
</cp:coreProperties>
</file>