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B10"/>
  <c r="N9"/>
  <c r="G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O6"/>
  <c r="N6"/>
  <c r="N7" s="1"/>
  <c r="E6"/>
  <c r="D6"/>
  <c r="D13" s="1"/>
  <c r="T5"/>
  <c r="T17" s="1"/>
  <c r="R5"/>
  <c r="R17" s="1"/>
  <c r="C5"/>
  <c r="O8" s="1"/>
  <c r="P8" s="1"/>
  <c r="J4"/>
  <c r="O3"/>
  <c r="P3" s="1"/>
  <c r="N3"/>
  <c r="B10" i="30"/>
  <c r="N9"/>
  <c r="N8"/>
  <c r="O7"/>
  <c r="P7" s="1"/>
  <c r="N7"/>
  <c r="N6"/>
  <c r="E6"/>
  <c r="D6"/>
  <c r="D10" s="1"/>
  <c r="C5"/>
  <c r="O9" s="1"/>
  <c r="P9" s="1"/>
  <c r="J4"/>
  <c r="D13" i="29"/>
  <c r="B13"/>
  <c r="G12"/>
  <c r="N9"/>
  <c r="N8"/>
  <c r="N7"/>
  <c r="N6"/>
  <c r="E6"/>
  <c r="D6"/>
  <c r="C5"/>
  <c r="J4"/>
  <c r="K4" s="1"/>
  <c r="D29" i="28"/>
  <c r="B28"/>
  <c r="C27"/>
  <c r="B26"/>
  <c r="C26" s="1"/>
  <c r="C25"/>
  <c r="C24"/>
  <c r="O23"/>
  <c r="P23" s="1"/>
  <c r="N23"/>
  <c r="C23"/>
  <c r="O6" s="1"/>
  <c r="C22"/>
  <c r="T21"/>
  <c r="C21"/>
  <c r="T20"/>
  <c r="R20"/>
  <c r="C20"/>
  <c r="T19"/>
  <c r="R19"/>
  <c r="C19"/>
  <c r="T18"/>
  <c r="R18"/>
  <c r="E18"/>
  <c r="T17"/>
  <c r="R17"/>
  <c r="C17"/>
  <c r="T16"/>
  <c r="S16"/>
  <c r="R16"/>
  <c r="C16"/>
  <c r="T15"/>
  <c r="R15"/>
  <c r="P15"/>
  <c r="O15"/>
  <c r="N15"/>
  <c r="E15"/>
  <c r="B15"/>
  <c r="T14"/>
  <c r="S14"/>
  <c r="R14"/>
  <c r="O14"/>
  <c r="N14"/>
  <c r="E14"/>
  <c r="B14"/>
  <c r="T13"/>
  <c r="R13"/>
  <c r="N17" s="1"/>
  <c r="B13"/>
  <c r="R12"/>
  <c r="E12"/>
  <c r="T11"/>
  <c r="S11"/>
  <c r="R11"/>
  <c r="C11"/>
  <c r="T10"/>
  <c r="S10"/>
  <c r="R10"/>
  <c r="C10"/>
  <c r="O9"/>
  <c r="B9"/>
  <c r="C9" s="1"/>
  <c r="R8"/>
  <c r="T8" s="1"/>
  <c r="O8"/>
  <c r="C8"/>
  <c r="B8"/>
  <c r="T7"/>
  <c r="R7"/>
  <c r="N7"/>
  <c r="C7"/>
  <c r="T6"/>
  <c r="N6"/>
  <c r="P6" s="1"/>
  <c r="B6"/>
  <c r="S5"/>
  <c r="D5"/>
  <c r="B5"/>
  <c r="B31" s="1"/>
  <c r="J4" s="1"/>
  <c r="B13" i="27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K4"/>
  <c r="B10" i="25"/>
  <c r="D7"/>
  <c r="E6"/>
  <c r="D6"/>
  <c r="C5"/>
  <c r="O7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4" i="22"/>
  <c r="D12"/>
  <c r="D11"/>
  <c r="D10"/>
  <c r="D9"/>
  <c r="D8"/>
  <c r="C7"/>
  <c r="E6"/>
  <c r="D6"/>
  <c r="D5"/>
  <c r="J4"/>
  <c r="B13" i="21"/>
  <c r="J4" s="1"/>
  <c r="K4" s="1"/>
  <c r="O9"/>
  <c r="P9" s="1"/>
  <c r="N9"/>
  <c r="T8"/>
  <c r="S8" s="1"/>
  <c r="R8"/>
  <c r="O8"/>
  <c r="P8" s="1"/>
  <c r="N8"/>
  <c r="C8"/>
  <c r="T7"/>
  <c r="S7"/>
  <c r="R7"/>
  <c r="N7"/>
  <c r="C7"/>
  <c r="O7" s="1"/>
  <c r="P7" s="1"/>
  <c r="P11" s="1"/>
  <c r="T6"/>
  <c r="R6"/>
  <c r="P6"/>
  <c r="O6"/>
  <c r="O3" s="1"/>
  <c r="N6"/>
  <c r="E6"/>
  <c r="D6"/>
  <c r="D13" s="1"/>
  <c r="T5"/>
  <c r="R5"/>
  <c r="R19" s="1"/>
  <c r="C5"/>
  <c r="P3"/>
  <c r="N3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O18" i="16"/>
  <c r="P18" s="1"/>
  <c r="N18"/>
  <c r="P17"/>
  <c r="N17"/>
  <c r="O16"/>
  <c r="P16" s="1"/>
  <c r="N16"/>
  <c r="O15"/>
  <c r="N15"/>
  <c r="B9" s="1"/>
  <c r="O9"/>
  <c r="P9" s="1"/>
  <c r="N9"/>
  <c r="D9"/>
  <c r="T8" s="1"/>
  <c r="S8" s="1"/>
  <c r="R8"/>
  <c r="N8"/>
  <c r="B8"/>
  <c r="B14" s="1"/>
  <c r="J4" s="1"/>
  <c r="C7"/>
  <c r="O17" s="1"/>
  <c r="N6"/>
  <c r="E6"/>
  <c r="D6"/>
  <c r="R5"/>
  <c r="U5" s="1"/>
  <c r="C5"/>
  <c r="O8" s="1"/>
  <c r="P8" s="1"/>
  <c r="D13" i="15"/>
  <c r="B13"/>
  <c r="G12"/>
  <c r="N9"/>
  <c r="N8"/>
  <c r="N7"/>
  <c r="N6"/>
  <c r="E6"/>
  <c r="D6"/>
  <c r="C5"/>
  <c r="J4"/>
  <c r="K4" s="1"/>
  <c r="N25" i="14"/>
  <c r="N23"/>
  <c r="P16"/>
  <c r="N16"/>
  <c r="O15"/>
  <c r="B15"/>
  <c r="J4" s="1"/>
  <c r="C13"/>
  <c r="C12"/>
  <c r="C11"/>
  <c r="E10"/>
  <c r="S9"/>
  <c r="O16" s="1"/>
  <c r="R9"/>
  <c r="N17" s="1"/>
  <c r="D9"/>
  <c r="S8"/>
  <c r="O9" s="1"/>
  <c r="R8"/>
  <c r="O8"/>
  <c r="E8"/>
  <c r="S7"/>
  <c r="R7"/>
  <c r="T7" s="1"/>
  <c r="O7"/>
  <c r="E7"/>
  <c r="S6"/>
  <c r="R6"/>
  <c r="R35" s="1"/>
  <c r="O6"/>
  <c r="D6"/>
  <c r="R5"/>
  <c r="N24" s="1"/>
  <c r="D5"/>
  <c r="R15" i="13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N17" i="12"/>
  <c r="N16"/>
  <c r="N15"/>
  <c r="N14"/>
  <c r="B13"/>
  <c r="C10"/>
  <c r="U9"/>
  <c r="T9"/>
  <c r="R9"/>
  <c r="N9"/>
  <c r="C9"/>
  <c r="T8"/>
  <c r="R8"/>
  <c r="N8"/>
  <c r="C8"/>
  <c r="R7"/>
  <c r="C7"/>
  <c r="O6" s="1"/>
  <c r="N6"/>
  <c r="E6"/>
  <c r="D6"/>
  <c r="D13" s="1"/>
  <c r="G12" s="1"/>
  <c r="T5"/>
  <c r="R5"/>
  <c r="C5"/>
  <c r="O9" s="1"/>
  <c r="P9" s="1"/>
  <c r="J4"/>
  <c r="K4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D12"/>
  <c r="C12" s="1"/>
  <c r="C11"/>
  <c r="C10"/>
  <c r="C9"/>
  <c r="C8"/>
  <c r="R7"/>
  <c r="C7"/>
  <c r="T6"/>
  <c r="S6"/>
  <c r="R6"/>
  <c r="N6"/>
  <c r="E6"/>
  <c r="D6"/>
  <c r="D14" s="1"/>
  <c r="G13" s="1"/>
  <c r="T5"/>
  <c r="R5"/>
  <c r="N9" s="1"/>
  <c r="C5"/>
  <c r="O6" s="1"/>
  <c r="P6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N8"/>
  <c r="C8"/>
  <c r="O14" s="1"/>
  <c r="N7"/>
  <c r="C7"/>
  <c r="O16" s="1"/>
  <c r="R6"/>
  <c r="O6"/>
  <c r="N6"/>
  <c r="R5" s="1"/>
  <c r="E6"/>
  <c r="D6"/>
  <c r="D13" s="1"/>
  <c r="G12" s="1"/>
  <c r="C5"/>
  <c r="O8" s="1"/>
  <c r="P8" s="1"/>
  <c r="J4"/>
  <c r="K4" s="1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E62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D6"/>
  <c r="D5"/>
  <c r="D9" s="1"/>
  <c r="J4"/>
  <c r="D226" i="3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25"/>
  <c r="O25" s="1"/>
  <c r="M25"/>
  <c r="C25"/>
  <c r="N68" s="1"/>
  <c r="O68" s="1"/>
  <c r="T24"/>
  <c r="S24"/>
  <c r="N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O14" s="1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17" i="2" l="1"/>
  <c r="O22" s="1"/>
  <c r="N4"/>
  <c r="O46"/>
  <c r="O37" i="1"/>
  <c r="P37" s="1"/>
  <c r="O36"/>
  <c r="O35"/>
  <c r="O34"/>
  <c r="O29"/>
  <c r="P29" s="1"/>
  <c r="O28"/>
  <c r="O27"/>
  <c r="O26"/>
  <c r="T10"/>
  <c r="S10" s="1"/>
  <c r="E226" i="3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H37" i="5"/>
  <c r="H36"/>
  <c r="G9" i="18"/>
  <c r="K4"/>
  <c r="N26" i="1"/>
  <c r="N27"/>
  <c r="N28"/>
  <c r="B39"/>
  <c r="N34" i="2"/>
  <c r="O34" s="1"/>
  <c r="O38" s="1"/>
  <c r="N51"/>
  <c r="O51" s="1"/>
  <c r="N67"/>
  <c r="O67" s="1"/>
  <c r="M73"/>
  <c r="N74"/>
  <c r="M75"/>
  <c r="O75" s="1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6" i="5"/>
  <c r="K36" s="1"/>
  <c r="I37"/>
  <c r="K37" s="1"/>
  <c r="N17" i="8"/>
  <c r="O3"/>
  <c r="N3" i="12"/>
  <c r="P6"/>
  <c r="O3"/>
  <c r="P3" s="1"/>
  <c r="G9" i="30"/>
  <c r="K4"/>
  <c r="O3" i="1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K4" i="4"/>
  <c r="P35"/>
  <c r="J14" i="5"/>
  <c r="T17" i="24"/>
  <c r="D15" i="14"/>
  <c r="K4" s="1"/>
  <c r="T5"/>
  <c r="N8"/>
  <c r="N6"/>
  <c r="T6" i="16"/>
  <c r="S6" s="1"/>
  <c r="O7" s="1"/>
  <c r="R6"/>
  <c r="N9" i="19"/>
  <c r="N8"/>
  <c r="N6"/>
  <c r="T19" i="21"/>
  <c r="S5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N9" i="25"/>
  <c r="N8"/>
  <c r="N6"/>
  <c r="N25" i="28"/>
  <c r="N24"/>
  <c r="C28"/>
  <c r="R21"/>
  <c r="C29"/>
  <c r="O7" s="1"/>
  <c r="T12"/>
  <c r="S12" s="1"/>
  <c r="O9" i="29"/>
  <c r="P9" s="1"/>
  <c r="O7"/>
  <c r="P7" s="1"/>
  <c r="P6" i="32"/>
  <c r="P11" s="1"/>
  <c r="O3"/>
  <c r="N3"/>
  <c r="O6" i="4"/>
  <c r="P6" s="1"/>
  <c r="L38" i="5"/>
  <c r="P6" i="8"/>
  <c r="T6"/>
  <c r="O7"/>
  <c r="P7" s="1"/>
  <c r="O9"/>
  <c r="P9" s="1"/>
  <c r="N14"/>
  <c r="N16"/>
  <c r="P16" s="1"/>
  <c r="O17"/>
  <c r="P17" s="1"/>
  <c r="O7" i="10"/>
  <c r="O8"/>
  <c r="O9"/>
  <c r="P9" s="1"/>
  <c r="R14"/>
  <c r="O6" i="11"/>
  <c r="P6" s="1"/>
  <c r="O8"/>
  <c r="P8" s="1"/>
  <c r="T7" i="12"/>
  <c r="O7"/>
  <c r="O8"/>
  <c r="P8" s="1"/>
  <c r="P6" i="14"/>
  <c r="T8"/>
  <c r="N9"/>
  <c r="P9" s="1"/>
  <c r="P15" i="16"/>
  <c r="P21" s="1"/>
  <c r="P6" i="19"/>
  <c r="D18" i="24"/>
  <c r="O6" i="29"/>
  <c r="P6" s="1"/>
  <c r="O8"/>
  <c r="P8" s="1"/>
  <c r="O17" i="12"/>
  <c r="P17" s="1"/>
  <c r="O15"/>
  <c r="P15" s="1"/>
  <c r="N9" i="13"/>
  <c r="P9" s="1"/>
  <c r="N8"/>
  <c r="P8" s="1"/>
  <c r="N7"/>
  <c r="P7" s="1"/>
  <c r="N6"/>
  <c r="P6" s="1"/>
  <c r="O9" i="15"/>
  <c r="P9" s="1"/>
  <c r="O7"/>
  <c r="P7" s="1"/>
  <c r="C35" i="23"/>
  <c r="N9" s="1"/>
  <c r="R25"/>
  <c r="R37" s="1"/>
  <c r="O9"/>
  <c r="P9" s="1"/>
  <c r="R6" i="28"/>
  <c r="C6"/>
  <c r="D13"/>
  <c r="D31" s="1"/>
  <c r="R9"/>
  <c r="S9" s="1"/>
  <c r="P14"/>
  <c r="O3"/>
  <c r="G12" i="31"/>
  <c r="K4"/>
  <c r="G8" i="4"/>
  <c r="U6" i="8"/>
  <c r="J4" i="9"/>
  <c r="K4" s="1"/>
  <c r="S5"/>
  <c r="T6"/>
  <c r="T17" s="1"/>
  <c r="O7"/>
  <c r="P7" s="1"/>
  <c r="P12" s="1"/>
  <c r="O8"/>
  <c r="P8" s="1"/>
  <c r="U5" i="10"/>
  <c r="N7"/>
  <c r="T7"/>
  <c r="T14" s="1"/>
  <c r="N8"/>
  <c r="K4" i="11"/>
  <c r="O7"/>
  <c r="P7" s="1"/>
  <c r="U5" i="12"/>
  <c r="R6"/>
  <c r="N7" s="1"/>
  <c r="T6"/>
  <c r="S6" s="1"/>
  <c r="S9"/>
  <c r="O14"/>
  <c r="P14" s="1"/>
  <c r="P19" s="1"/>
  <c r="O16"/>
  <c r="P16" s="1"/>
  <c r="T6" i="14"/>
  <c r="N7"/>
  <c r="P7" s="1"/>
  <c r="P8"/>
  <c r="O14"/>
  <c r="G15"/>
  <c r="O17"/>
  <c r="P17" s="1"/>
  <c r="O6" i="15"/>
  <c r="P6" s="1"/>
  <c r="P11" s="1"/>
  <c r="O8"/>
  <c r="P8" s="1"/>
  <c r="T5" i="16"/>
  <c r="R7"/>
  <c r="D8"/>
  <c r="C8" s="1"/>
  <c r="O6" s="1"/>
  <c r="P11" i="17"/>
  <c r="N7" i="19"/>
  <c r="P7" s="1"/>
  <c r="O8"/>
  <c r="P8" s="1"/>
  <c r="O9"/>
  <c r="P9" s="1"/>
  <c r="K4" i="20"/>
  <c r="G12" i="21"/>
  <c r="S6"/>
  <c r="D14" i="22"/>
  <c r="N6" i="23"/>
  <c r="O6" s="1"/>
  <c r="P6" s="1"/>
  <c r="T21"/>
  <c r="S21" s="1"/>
  <c r="R17" i="24"/>
  <c r="S7"/>
  <c r="N8"/>
  <c r="B18"/>
  <c r="J4" s="1"/>
  <c r="K4" s="1"/>
  <c r="O15"/>
  <c r="P15" s="1"/>
  <c r="J4" i="25"/>
  <c r="D10"/>
  <c r="G9" s="1"/>
  <c r="O6"/>
  <c r="P6" s="1"/>
  <c r="N7"/>
  <c r="P7" s="1"/>
  <c r="O8"/>
  <c r="P8" s="1"/>
  <c r="O9"/>
  <c r="P9" s="1"/>
  <c r="S5" i="26"/>
  <c r="G12" i="27"/>
  <c r="S13" i="28"/>
  <c r="S15"/>
  <c r="N16"/>
  <c r="N26"/>
  <c r="O9" i="31"/>
  <c r="P9" s="1"/>
  <c r="O7" i="33"/>
  <c r="P7" s="1"/>
  <c r="O6" i="34"/>
  <c r="P6" s="1"/>
  <c r="O8"/>
  <c r="P8" s="1"/>
  <c r="O9"/>
  <c r="P9" s="1"/>
  <c r="T9" i="14"/>
  <c r="N14"/>
  <c r="N15"/>
  <c r="P15" s="1"/>
  <c r="N22"/>
  <c r="O6" i="18"/>
  <c r="P6" s="1"/>
  <c r="O8"/>
  <c r="P8" s="1"/>
  <c r="O6" i="20"/>
  <c r="P6" s="1"/>
  <c r="O8"/>
  <c r="P8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O6" i="30"/>
  <c r="P6" s="1"/>
  <c r="O8"/>
  <c r="P8" s="1"/>
  <c r="S5" i="31"/>
  <c r="O7"/>
  <c r="P7" s="1"/>
  <c r="P11" s="1"/>
  <c r="O6" i="33"/>
  <c r="P6" s="1"/>
  <c r="O8"/>
  <c r="P8" s="1"/>
  <c r="G31" i="28" l="1"/>
  <c r="K4"/>
  <c r="P12" i="13"/>
  <c r="O16" i="28"/>
  <c r="P16" s="1"/>
  <c r="O17"/>
  <c r="P17" s="1"/>
  <c r="E7" i="25"/>
  <c r="K4"/>
  <c r="O8" i="24"/>
  <c r="P8" s="1"/>
  <c r="O6"/>
  <c r="P6" s="1"/>
  <c r="O7"/>
  <c r="P7" s="1"/>
  <c r="R8" i="8"/>
  <c r="T7"/>
  <c r="R7"/>
  <c r="T5"/>
  <c r="P11"/>
  <c r="N8" i="28"/>
  <c r="P8" s="1"/>
  <c r="N9"/>
  <c r="P9" s="1"/>
  <c r="N7" i="16"/>
  <c r="R13"/>
  <c r="R22" i="2"/>
  <c r="M57"/>
  <c r="O57" s="1"/>
  <c r="D31"/>
  <c r="T22"/>
  <c r="T20"/>
  <c r="R20"/>
  <c r="D39" i="1"/>
  <c r="D42" s="1"/>
  <c r="T22"/>
  <c r="T18"/>
  <c r="S18" s="1"/>
  <c r="R18"/>
  <c r="N10"/>
  <c r="P10" s="1"/>
  <c r="R22"/>
  <c r="P11" i="33"/>
  <c r="P11" i="30"/>
  <c r="P11" i="26"/>
  <c r="P11" i="20"/>
  <c r="P11" i="18"/>
  <c r="P11" i="25"/>
  <c r="T37" i="23"/>
  <c r="P14" i="14"/>
  <c r="P19" s="1"/>
  <c r="R13" i="12"/>
  <c r="P11" i="29"/>
  <c r="G17" i="24"/>
  <c r="P11" i="19"/>
  <c r="D14" i="16"/>
  <c r="P11" i="14"/>
  <c r="P7" i="12"/>
  <c r="P8" i="10"/>
  <c r="P3" i="32"/>
  <c r="G37" i="23"/>
  <c r="T32" i="1"/>
  <c r="P14" i="8"/>
  <c r="B37" i="2"/>
  <c r="T36"/>
  <c r="P26" i="1"/>
  <c r="P28"/>
  <c r="P34"/>
  <c r="P36"/>
  <c r="B42"/>
  <c r="T5" i="28"/>
  <c r="T33" s="1"/>
  <c r="R33"/>
  <c r="O26"/>
  <c r="P26" s="1"/>
  <c r="O25"/>
  <c r="P25" s="1"/>
  <c r="O24"/>
  <c r="P24" s="1"/>
  <c r="N3" i="16"/>
  <c r="P6"/>
  <c r="O3"/>
  <c r="P3" s="1"/>
  <c r="M38" i="5"/>
  <c r="L39"/>
  <c r="P7" i="28"/>
  <c r="P11" s="1"/>
  <c r="N3"/>
  <c r="P3" s="1"/>
  <c r="T35" i="14"/>
  <c r="S5"/>
  <c r="O21" i="1"/>
  <c r="P21" s="1"/>
  <c r="O19"/>
  <c r="P19" s="1"/>
  <c r="P23" s="1"/>
  <c r="O20"/>
  <c r="P20" s="1"/>
  <c r="P6"/>
  <c r="O6"/>
  <c r="N3" s="1"/>
  <c r="P3" i="8"/>
  <c r="N3"/>
  <c r="H41" i="5"/>
  <c r="I41" s="1"/>
  <c r="K41" s="1"/>
  <c r="H38"/>
  <c r="M4" i="2"/>
  <c r="O4" s="1"/>
  <c r="P19" i="26"/>
  <c r="P11" i="34"/>
  <c r="P19" i="28"/>
  <c r="P12" i="11"/>
  <c r="P7" i="10"/>
  <c r="P11" s="1"/>
  <c r="P20" i="24"/>
  <c r="P7" i="16"/>
  <c r="T13" i="12"/>
  <c r="P3" i="1"/>
  <c r="P11" i="12"/>
  <c r="O74" i="2"/>
  <c r="O78" s="1"/>
  <c r="P27" i="1"/>
  <c r="P35"/>
  <c r="D37" i="2"/>
  <c r="G36" s="1"/>
  <c r="O25" i="14" l="1"/>
  <c r="P25" s="1"/>
  <c r="O23"/>
  <c r="P23" s="1"/>
  <c r="O22"/>
  <c r="P22" s="1"/>
  <c r="O24"/>
  <c r="P24" s="1"/>
  <c r="M39" i="5"/>
  <c r="L41"/>
  <c r="M41" s="1"/>
  <c r="J12" i="1"/>
  <c r="J13" s="1"/>
  <c r="J4"/>
  <c r="K4" s="1"/>
  <c r="J4" i="2"/>
  <c r="K4" s="1"/>
  <c r="J7"/>
  <c r="J8" s="1"/>
  <c r="O12" i="1"/>
  <c r="P12" s="1"/>
  <c r="O11"/>
  <c r="O13"/>
  <c r="P13" s="1"/>
  <c r="G7"/>
  <c r="I42"/>
  <c r="S5" i="8"/>
  <c r="P39" i="1"/>
  <c r="P31"/>
  <c r="S20" i="2"/>
  <c r="S7" i="8"/>
  <c r="O15" s="1"/>
  <c r="P11" i="24"/>
  <c r="H39" i="5"/>
  <c r="I39" s="1"/>
  <c r="K39" s="1"/>
  <c r="I38"/>
  <c r="K38" s="1"/>
  <c r="J13" s="1"/>
  <c r="P12" i="16"/>
  <c r="T7"/>
  <c r="T13" s="1"/>
  <c r="G13"/>
  <c r="K4"/>
  <c r="N11" i="1"/>
  <c r="R32"/>
  <c r="M58" i="2"/>
  <c r="R36"/>
  <c r="N15" i="8"/>
  <c r="R13"/>
  <c r="M46" i="5"/>
  <c r="P28" i="28"/>
  <c r="T8" i="8"/>
  <c r="T13" s="1"/>
  <c r="O46" i="5" l="1"/>
  <c r="P46" s="1"/>
  <c r="J15"/>
  <c r="J16" s="1"/>
  <c r="N59" i="2"/>
  <c r="O59" s="1"/>
  <c r="N60"/>
  <c r="O60" s="1"/>
  <c r="N58"/>
  <c r="O58" s="1"/>
  <c r="O62" s="1"/>
  <c r="K14" i="5"/>
  <c r="P27" i="14"/>
  <c r="P15" i="8"/>
  <c r="P19" s="1"/>
  <c r="P11" i="1"/>
  <c r="P15" s="1"/>
</calcChain>
</file>

<file path=xl/sharedStrings.xml><?xml version="1.0" encoding="utf-8"?>
<sst xmlns="http://schemas.openxmlformats.org/spreadsheetml/2006/main" count="716" uniqueCount="84">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</sst>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</c:numCache>
            </c:numRef>
          </c:val>
        </c:ser>
        <c:marker val="1"/>
        <c:axId val="49037312"/>
        <c:axId val="49039232"/>
      </c:lineChart>
      <c:dateAx>
        <c:axId val="49037312"/>
        <c:scaling>
          <c:orientation val="minMax"/>
        </c:scaling>
        <c:axPos val="b"/>
        <c:numFmt formatCode="dd/mm/yy;@" sourceLinked="1"/>
        <c:majorTickMark val="none"/>
        <c:tickLblPos val="nextTo"/>
        <c:crossAx val="49039232"/>
        <c:crosses val="autoZero"/>
        <c:lblOffset val="100"/>
      </c:dateAx>
      <c:valAx>
        <c:axId val="4903923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49037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1866.905250045465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919.21207713496301</v>
      </c>
      <c r="K4" s="4">
        <f>(J4/D42-1)</f>
        <v>-0.33585770072005849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2811.0018772626754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3.94554E-3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3.2087000000000004E-2</v>
      </c>
      <c r="O11" s="38">
        <f>($S$18*Params!K16)</f>
        <v>3242.2390640591848</v>
      </c>
      <c r="P11" s="23">
        <f>(O11*N11)</f>
        <v>104.03372484846707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3.94554E-3</v>
      </c>
      <c r="C12" s="39">
        <v>0</v>
      </c>
      <c r="D12" s="26">
        <f t="shared" si="0"/>
        <v>0</v>
      </c>
      <c r="E12" s="37">
        <f>(B12*J3)</f>
        <v>7.3659493402643843</v>
      </c>
      <c r="I12" t="s">
        <v>13</v>
      </c>
      <c r="J12">
        <f>(J11-B42)</f>
        <v>7.6278900000000815E-3</v>
      </c>
      <c r="N12">
        <f>($B$35/5)</f>
        <v>1.8366E-2</v>
      </c>
      <c r="O12" s="38">
        <f>($S$18*Params!K17)</f>
        <v>6484.4781281183696</v>
      </c>
      <c r="P12" s="23">
        <f>(O12*N12)</f>
        <v>119.09392530102198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14.240547887769454</v>
      </c>
      <c r="N13">
        <f>($B$35/5)</f>
        <v>1.8366E-2</v>
      </c>
      <c r="O13" s="38">
        <f>($S$18*Params!K18)</f>
        <v>12968.956256236739</v>
      </c>
      <c r="P13" s="23">
        <f>(O13*N13)</f>
        <v>238.18785060204397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468.77072575153301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8.7184999999999999E-2</v>
      </c>
      <c r="S18" s="38">
        <f>(T18/R18)</f>
        <v>1621.1195320295924</v>
      </c>
      <c r="T18" s="23">
        <f>(D35+1283.68*B39)</f>
        <v>141.33730640000002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6.4549999999999998E-3</v>
      </c>
      <c r="O19" s="38">
        <f>($S$19*Params!K16)</f>
        <v>3327.1097702820589</v>
      </c>
      <c r="P19" s="23">
        <f>(O19*N19)</f>
        <v>21.476493567170689</v>
      </c>
      <c r="R19" s="24">
        <f>(B36+B38)</f>
        <v>1.7194999999999998E-2</v>
      </c>
      <c r="S19" s="38">
        <f>(T19/R19)</f>
        <v>1663.5548851410294</v>
      </c>
      <c r="T19" s="23">
        <f>(D36+1269.75*B38)</f>
        <v>28.604826249999999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3.5799999999999998E-3</v>
      </c>
      <c r="O20" s="38">
        <f>($S$19*Params!K17)</f>
        <v>6654.2195405641178</v>
      </c>
      <c r="P20" s="23">
        <f>(O20*N20)</f>
        <v>23.822105955219541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3.5799999999999998E-3</v>
      </c>
      <c r="O21" s="38">
        <f>($S$19*Params!K18)</f>
        <v>13308.439081128236</v>
      </c>
      <c r="P21" s="23">
        <f>(O21*N21)</f>
        <v>47.644211910439083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94.074336432829313</v>
      </c>
      <c r="R23" s="24">
        <f>(B40)</f>
        <v>3.1280000000000002E-2</v>
      </c>
      <c r="S23" s="38">
        <f>(T23/R23)</f>
        <v>1823.8491048593348</v>
      </c>
      <c r="T23" s="23">
        <f>(D40)</f>
        <v>57.05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0.49237211000000003</v>
      </c>
      <c r="T32" s="23">
        <f>(SUM(T5:T31))</f>
        <v>1384.0589255217842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6.2560000000000003E-3</v>
      </c>
      <c r="O34" s="38">
        <f>($S$23*Params!K15)</f>
        <v>2735.7736572890021</v>
      </c>
      <c r="P34" s="23">
        <f>(O34*N34)</f>
        <v>17.114999999999998</v>
      </c>
    </row>
    <row r="35" spans="2:16">
      <c r="B35" s="24">
        <v>9.1829999999999995E-2</v>
      </c>
      <c r="C35" s="38">
        <f>(D35/B35)</f>
        <v>1604.0509637373409</v>
      </c>
      <c r="D35" s="23">
        <v>147.30000000000001</v>
      </c>
      <c r="E35" t="s">
        <v>10</v>
      </c>
      <c r="N35">
        <f>($R$23/5)</f>
        <v>6.2560000000000003E-3</v>
      </c>
      <c r="O35" s="38">
        <f>($S$23*Params!K16)</f>
        <v>3647.6982097186697</v>
      </c>
      <c r="P35" s="23">
        <f>(O35*N35)</f>
        <v>22.819999999999997</v>
      </c>
    </row>
    <row r="36" spans="2:16">
      <c r="B36" s="24">
        <v>1.7899999999999999E-2</v>
      </c>
      <c r="C36" s="38">
        <f>(D36/B36)</f>
        <v>1648.0446927374303</v>
      </c>
      <c r="D36" s="23">
        <v>29.5</v>
      </c>
      <c r="E36" t="s">
        <v>15</v>
      </c>
      <c r="N36">
        <f>($R$23/5)</f>
        <v>6.2560000000000003E-3</v>
      </c>
      <c r="O36" s="38">
        <f>($S$23*Params!K17)</f>
        <v>7295.3964194373393</v>
      </c>
      <c r="P36" s="23">
        <f>(O36*N36)</f>
        <v>45.639999999999993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6.2560000000000003E-3</v>
      </c>
      <c r="O37" s="38">
        <f>($S$23*Params!K18)</f>
        <v>14590.792838874679</v>
      </c>
      <c r="P37" s="23">
        <f>(O37*N37)</f>
        <v>91.279999999999987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176.85499999999996</v>
      </c>
    </row>
    <row r="40" spans="2:16">
      <c r="B40" s="24">
        <v>3.1280000000000002E-2</v>
      </c>
      <c r="C40" s="38">
        <f>(D40/B40)</f>
        <v>1823.8491048593348</v>
      </c>
      <c r="D40" s="23">
        <v>57.05</v>
      </c>
      <c r="E40" t="s">
        <v>18</v>
      </c>
    </row>
    <row r="42" spans="2:16">
      <c r="B42">
        <f>(SUM(B5:B41))</f>
        <v>0.49237210999999992</v>
      </c>
      <c r="D42" s="23">
        <f>(SUM(D5:D41))</f>
        <v>1384.0589255217842</v>
      </c>
      <c r="H42" t="s">
        <v>9</v>
      </c>
      <c r="I42" s="38">
        <f>D42/B42</f>
        <v>2811.0018772626754</v>
      </c>
    </row>
  </sheetData>
  <conditionalFormatting sqref="C5:C7 C11 C18:C24">
    <cfRule type="cellIs" dxfId="335" priority="37" operator="lessThan">
      <formula>$J$3</formula>
    </cfRule>
    <cfRule type="cellIs" dxfId="334" priority="38" operator="greaterThan">
      <formula>$J$3</formula>
    </cfRule>
  </conditionalFormatting>
  <conditionalFormatting sqref="C25">
    <cfRule type="cellIs" dxfId="333" priority="35" operator="lessThan">
      <formula>$J$3</formula>
    </cfRule>
    <cfRule type="cellIs" dxfId="332" priority="36" operator="greaterThan">
      <formula>$J$3</formula>
    </cfRule>
  </conditionalFormatting>
  <conditionalFormatting sqref="C27">
    <cfRule type="cellIs" dxfId="331" priority="33" operator="lessThan">
      <formula>$J$3</formula>
    </cfRule>
    <cfRule type="cellIs" dxfId="330" priority="34" operator="greaterThan">
      <formula>$J$3</formula>
    </cfRule>
  </conditionalFormatting>
  <conditionalFormatting sqref="C29">
    <cfRule type="cellIs" dxfId="329" priority="31" operator="lessThan">
      <formula>$J$3</formula>
    </cfRule>
    <cfRule type="cellIs" dxfId="328" priority="32" operator="greaterThan">
      <formula>$J$3</formula>
    </cfRule>
  </conditionalFormatting>
  <conditionalFormatting sqref="C31">
    <cfRule type="cellIs" dxfId="327" priority="29" operator="lessThan">
      <formula>$J$3</formula>
    </cfRule>
    <cfRule type="cellIs" dxfId="326" priority="30" operator="greaterThan">
      <formula>$J$3</formula>
    </cfRule>
  </conditionalFormatting>
  <conditionalFormatting sqref="C33">
    <cfRule type="cellIs" dxfId="325" priority="27" operator="lessThan">
      <formula>$J$3</formula>
    </cfRule>
    <cfRule type="cellIs" dxfId="324" priority="28" operator="greaterThan">
      <formula>$J$3</formula>
    </cfRule>
  </conditionalFormatting>
  <conditionalFormatting sqref="C35:C37">
    <cfRule type="cellIs" dxfId="323" priority="25" operator="lessThan">
      <formula>$J$3</formula>
    </cfRule>
    <cfRule type="cellIs" dxfId="322" priority="26" operator="greaterThan">
      <formula>$J$3</formula>
    </cfRule>
  </conditionalFormatting>
  <conditionalFormatting sqref="C40">
    <cfRule type="cellIs" dxfId="321" priority="23" operator="lessThan">
      <formula>$J$3</formula>
    </cfRule>
    <cfRule type="cellIs" dxfId="320" priority="24" operator="greaterThan">
      <formula>$J$3</formula>
    </cfRule>
  </conditionalFormatting>
  <conditionalFormatting sqref="I42">
    <cfRule type="cellIs" dxfId="319" priority="21" operator="lessThan">
      <formula>$J$3</formula>
    </cfRule>
    <cfRule type="cellIs" dxfId="318" priority="22" operator="greaterThan">
      <formula>$J$3</formula>
    </cfRule>
  </conditionalFormatting>
  <conditionalFormatting sqref="O11:O13">
    <cfRule type="cellIs" dxfId="317" priority="19" operator="lessThan">
      <formula>$J$3</formula>
    </cfRule>
    <cfRule type="cellIs" dxfId="316" priority="20" operator="greaterThan">
      <formula>$J$3</formula>
    </cfRule>
  </conditionalFormatting>
  <conditionalFormatting sqref="O19:O21">
    <cfRule type="cellIs" dxfId="315" priority="17" operator="lessThan">
      <formula>$J$3</formula>
    </cfRule>
    <cfRule type="cellIs" dxfId="314" priority="18" operator="greaterThan">
      <formula>$J$3</formula>
    </cfRule>
  </conditionalFormatting>
  <conditionalFormatting sqref="O26:O29">
    <cfRule type="cellIs" dxfId="313" priority="15" operator="lessThan">
      <formula>$J$3</formula>
    </cfRule>
    <cfRule type="cellIs" dxfId="312" priority="16" operator="greaterThan">
      <formula>$J$3</formula>
    </cfRule>
  </conditionalFormatting>
  <conditionalFormatting sqref="O34:O37">
    <cfRule type="cellIs" dxfId="311" priority="13" operator="lessThan">
      <formula>$J$3</formula>
    </cfRule>
    <cfRule type="cellIs" dxfId="310" priority="14" operator="greaterThan">
      <formula>$J$3</formula>
    </cfRule>
  </conditionalFormatting>
  <conditionalFormatting sqref="N6">
    <cfRule type="cellIs" dxfId="309" priority="11" operator="lessThan">
      <formula>$J$3</formula>
    </cfRule>
    <cfRule type="cellIs" dxfId="308" priority="12" operator="greaterThan">
      <formula>$J$3</formula>
    </cfRule>
  </conditionalFormatting>
  <conditionalFormatting sqref="O3">
    <cfRule type="cellIs" dxfId="307" priority="9" operator="greaterThan">
      <formula>$J$3</formula>
    </cfRule>
    <cfRule type="cellIs" dxfId="306" priority="10" operator="lessThan">
      <formula>$J$3</formula>
    </cfRule>
  </conditionalFormatting>
  <conditionalFormatting sqref="S5:S7">
    <cfRule type="cellIs" dxfId="305" priority="7" operator="lessThan">
      <formula>$J$3</formula>
    </cfRule>
    <cfRule type="cellIs" dxfId="304" priority="8" operator="greaterThan">
      <formula>$J$3</formula>
    </cfRule>
  </conditionalFormatting>
  <conditionalFormatting sqref="S10:S15">
    <cfRule type="cellIs" dxfId="303" priority="5" operator="lessThan">
      <formula>$J$3</formula>
    </cfRule>
    <cfRule type="cellIs" dxfId="302" priority="6" operator="greaterThan">
      <formula>$J$3</formula>
    </cfRule>
  </conditionalFormatting>
  <conditionalFormatting sqref="S18:S20">
    <cfRule type="cellIs" dxfId="301" priority="3" operator="lessThan">
      <formula>$J$3</formula>
    </cfRule>
    <cfRule type="cellIs" dxfId="300" priority="4" operator="greaterThan">
      <formula>$J$3</formula>
    </cfRule>
  </conditionalFormatting>
  <conditionalFormatting sqref="S23">
    <cfRule type="cellIs" dxfId="299" priority="1" operator="lessThan">
      <formula>$J$3</formula>
    </cfRule>
    <cfRule type="cellIs" dxfId="298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3.1143932061044421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21.96846837193905</v>
      </c>
      <c r="K4" s="4">
        <f>(J4/D14-1)</f>
        <v>-0.22945822625199941</v>
      </c>
      <c r="R4" t="s">
        <v>5</v>
      </c>
      <c r="S4" t="s">
        <v>6</v>
      </c>
      <c r="T4" t="s">
        <v>7</v>
      </c>
    </row>
    <row r="5" spans="2:21">
      <c r="B5" s="29">
        <v>6.6847200000000004</v>
      </c>
      <c r="C5" s="37">
        <f>(D5/B5)</f>
        <v>4.2933735444416516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0.30319014</v>
      </c>
      <c r="S5" s="39">
        <v>0</v>
      </c>
      <c r="T5" s="26">
        <f>(D6)</f>
        <v>0</v>
      </c>
      <c r="U5" s="37">
        <f>(R5*J3)</f>
        <v>0.94425331217385466</v>
      </c>
    </row>
    <row r="6" spans="2:21">
      <c r="B6" s="36">
        <v>0.30319014</v>
      </c>
      <c r="C6" s="39">
        <v>0</v>
      </c>
      <c r="D6" s="26">
        <f>(B6*C6)</f>
        <v>0</v>
      </c>
      <c r="E6" s="37">
        <f>(B6*J3)</f>
        <v>0.94425331217385466</v>
      </c>
      <c r="M6" t="s">
        <v>11</v>
      </c>
      <c r="N6" s="29">
        <f>(SUM(R5:R7)/5)</f>
        <v>1.4107703759999999</v>
      </c>
      <c r="O6" s="37">
        <f>($C$5*Params!K8)</f>
        <v>5.5813856077741475</v>
      </c>
      <c r="P6" s="37">
        <f>(O6*N6)</f>
        <v>7.8740534724805222</v>
      </c>
      <c r="R6" s="29">
        <f>(B5)</f>
        <v>6.6847200000000004</v>
      </c>
      <c r="S6" s="37">
        <f>(T6/R6)</f>
        <v>4.2933735444416516</v>
      </c>
      <c r="T6" s="37">
        <f>(D5)</f>
        <v>28.7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1.4107703759999999</v>
      </c>
      <c r="O7" s="37">
        <f>($C$5*Params!K9)</f>
        <v>6.8693976711066433</v>
      </c>
      <c r="P7" s="37">
        <f>(O7*N7)</f>
        <v>9.6911427353606427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1.4107703759999999</v>
      </c>
      <c r="O8" s="37">
        <f>($C$5*Params!K10)</f>
        <v>9.445421797771635</v>
      </c>
      <c r="P8" s="37">
        <f>(O8*N8)</f>
        <v>13.325321261120884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1.4107703759999999</v>
      </c>
      <c r="O9" s="37">
        <f>($C$5*Params!K11)</f>
        <v>17.173494177766607</v>
      </c>
      <c r="P9" s="37">
        <f>(O9*N9)</f>
        <v>24.227856838401603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55.118374307363652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4.0418226658311962</v>
      </c>
    </row>
    <row r="14" spans="2:21">
      <c r="B14" s="29">
        <f>(SUM(B5:B13))</f>
        <v>7.0538518800000007</v>
      </c>
      <c r="D14" s="37">
        <f>(SUM(D5:D13))</f>
        <v>28.51041841</v>
      </c>
      <c r="R14" s="29">
        <f>(SUM(R5:R13))</f>
        <v>7.0538518799999999</v>
      </c>
      <c r="T14" s="37">
        <f>(SUM(T5:T13))</f>
        <v>28.51041841</v>
      </c>
    </row>
    <row r="22" spans="4:4">
      <c r="D22" s="29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tabSelected="1"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10.54439829374445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12.707946545331072</v>
      </c>
      <c r="K4" s="4">
        <f>(J4/D14-1)</f>
        <v>0.16266665556551452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0.9272329464665926</v>
      </c>
      <c r="M6" t="s">
        <v>11</v>
      </c>
      <c r="N6" s="1">
        <f>(SUM($B$5:$B$7)/5)</f>
        <v>0.24103692200000001</v>
      </c>
      <c r="O6" s="37">
        <f>($C$5*Params!K8)</f>
        <v>12.800900900900901</v>
      </c>
      <c r="P6" s="37">
        <f>(O6*N6)</f>
        <v>3.0854897519801803</v>
      </c>
    </row>
    <row r="7" spans="2:16">
      <c r="B7" s="36">
        <v>7.2485400000000004E-3</v>
      </c>
      <c r="C7" s="39">
        <v>0</v>
      </c>
      <c r="D7" s="26">
        <f>(C7*B7)</f>
        <v>0</v>
      </c>
      <c r="E7" s="37">
        <f>(B7*J4)</f>
        <v>9.2114058851694103E-2</v>
      </c>
      <c r="N7" s="1">
        <f>(SUM($B$5:$B$7)/5)</f>
        <v>0.24103692200000001</v>
      </c>
      <c r="O7" s="37">
        <f>($C$5*Params!K9)</f>
        <v>15.754954954954954</v>
      </c>
      <c r="P7" s="37">
        <f>(O7*N7)</f>
        <v>3.7975258485909911</v>
      </c>
    </row>
    <row r="8" spans="2:16">
      <c r="N8" s="1">
        <f>(SUM($B$5:$B$7)/5)</f>
        <v>0.24103692200000001</v>
      </c>
      <c r="O8" s="37">
        <f>($C$5*Params!K10)</f>
        <v>21.663063063063063</v>
      </c>
      <c r="P8" s="37">
        <f>(O8*N8)</f>
        <v>5.2215980418126131</v>
      </c>
    </row>
    <row r="9" spans="2:16">
      <c r="N9" s="1">
        <f>(SUM($B$5:$B$7)/5)</f>
        <v>0.24103692200000001</v>
      </c>
      <c r="O9" s="37">
        <f>($C$5*Params!K11)</f>
        <v>39.387387387387385</v>
      </c>
      <c r="P9" s="37">
        <f>(O9*N9)</f>
        <v>9.4938146214774779</v>
      </c>
    </row>
    <row r="12" spans="2:16">
      <c r="P12" s="37">
        <f>(SUM(P6:P9))</f>
        <v>21.598428263861265</v>
      </c>
    </row>
    <row r="13" spans="2:16">
      <c r="F13" t="s">
        <v>9</v>
      </c>
      <c r="G13" s="37">
        <f>(D14/B14)</f>
        <v>9.0691499952028085</v>
      </c>
    </row>
    <row r="14" spans="2:16">
      <c r="B14" s="19">
        <f>(SUM(B5:B13))</f>
        <v>1.2051846100000001</v>
      </c>
      <c r="D14" s="37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14.09280262870994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29.395379068741228</v>
      </c>
      <c r="K4" s="4">
        <f>(J4/D13-1)</f>
        <v>-0.12634257977682528</v>
      </c>
      <c r="R4" t="s">
        <v>5</v>
      </c>
      <c r="S4" t="s">
        <v>6</v>
      </c>
      <c r="T4" t="s">
        <v>7</v>
      </c>
    </row>
    <row r="5" spans="2:21">
      <c r="B5">
        <v>1.75847</v>
      </c>
      <c r="C5" s="37">
        <f>(D5/B5)</f>
        <v>16.321006329365868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8.8306800000000005E-3</v>
      </c>
      <c r="S5" s="39">
        <v>0</v>
      </c>
      <c r="T5" s="26">
        <f>(D6)</f>
        <v>0</v>
      </c>
      <c r="U5" s="37">
        <f>(R5*J3)</f>
        <v>0.1244490303172963</v>
      </c>
    </row>
    <row r="6" spans="2:21">
      <c r="B6" s="25">
        <v>8.8306800000000005E-3</v>
      </c>
      <c r="C6" s="39">
        <v>0</v>
      </c>
      <c r="D6" s="26">
        <f>(B6*C6)</f>
        <v>0</v>
      </c>
      <c r="E6" s="37">
        <f>(B6*J3)</f>
        <v>0.1244490303172963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1.6867699999999999</v>
      </c>
      <c r="S6" s="37">
        <f>(T6/R6)</f>
        <v>16.481726613586915</v>
      </c>
      <c r="T6" s="37">
        <f>(D5+12.54*-N6)</f>
        <v>27.800881999999998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0.63168800000000003</v>
      </c>
      <c r="O7" s="37">
        <f>($C$5*Params!K9)</f>
        <v>26.113610126985392</v>
      </c>
      <c r="P7" s="37">
        <f>(O7*N7)</f>
        <v>16.495654153895149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0.35169400000000001</v>
      </c>
      <c r="O8" s="37">
        <f>($C$5*Params!K10)</f>
        <v>35.906213924604913</v>
      </c>
      <c r="P8" s="37">
        <f>(O8*N8)</f>
        <v>12.628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0.35169400000000001</v>
      </c>
      <c r="O9" s="37">
        <f>($C$5*Params!K11)</f>
        <v>65.284025317463474</v>
      </c>
      <c r="P9" s="37">
        <f>(O9*N9)</f>
        <v>22.96</v>
      </c>
      <c r="R9" s="24">
        <f>(B10)</f>
        <v>0.37731999999999999</v>
      </c>
      <c r="S9" s="37">
        <f>(T9/R9)</f>
        <v>16.458178734230891</v>
      </c>
      <c r="T9" s="37">
        <f>(D10)</f>
        <v>6.21</v>
      </c>
      <c r="U9" t="str">
        <f>E10</f>
        <v>DCA4</v>
      </c>
    </row>
    <row r="10" spans="2:21">
      <c r="B10">
        <v>0.37731999999999999</v>
      </c>
      <c r="C10" s="37">
        <f>(D10/B10)</f>
        <v>16.458178734230891</v>
      </c>
      <c r="D10" s="37">
        <v>6.21</v>
      </c>
      <c r="E10" t="s">
        <v>80</v>
      </c>
    </row>
    <row r="11" spans="2:21">
      <c r="P11" s="37">
        <f>(SUM(P6:P9))</f>
        <v>53.215797153895153</v>
      </c>
    </row>
    <row r="12" spans="2:21">
      <c r="F12" t="s">
        <v>9</v>
      </c>
      <c r="G12" s="37">
        <f>(D13/B13)</f>
        <v>16.13081089050895</v>
      </c>
    </row>
    <row r="13" spans="2:21">
      <c r="B13" s="24">
        <f>(SUM(B5:B12))</f>
        <v>2.08584338</v>
      </c>
      <c r="D13" s="37">
        <f>(SUM(D5:D12))</f>
        <v>33.646345109999999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2.08584338</v>
      </c>
      <c r="T13" s="37">
        <f>(SUM(T5:T12))</f>
        <v>33.646345109999999</v>
      </c>
    </row>
    <row r="14" spans="2:21">
      <c r="M14" t="s">
        <v>11</v>
      </c>
      <c r="N14" s="24">
        <f>($B$10/5)</f>
        <v>7.5464000000000003E-2</v>
      </c>
      <c r="O14" s="37">
        <f>($C$10*Params!K8)</f>
        <v>21.395632354500158</v>
      </c>
      <c r="P14" s="37">
        <f>(O14*N14)</f>
        <v>1.6146</v>
      </c>
    </row>
    <row r="15" spans="2:21">
      <c r="N15" s="24">
        <f>($B$10/5)</f>
        <v>7.5464000000000003E-2</v>
      </c>
      <c r="O15" s="37">
        <f>($C$10*Params!K9)</f>
        <v>26.333085974769428</v>
      </c>
      <c r="P15" s="37">
        <f>(O15*N15)</f>
        <v>1.9872000000000003</v>
      </c>
    </row>
    <row r="16" spans="2:21">
      <c r="N16" s="24">
        <f>($B$10/5)</f>
        <v>7.5464000000000003E-2</v>
      </c>
      <c r="O16" s="37">
        <f>($C$10*Params!K10)</f>
        <v>36.207993215307965</v>
      </c>
      <c r="P16" s="37">
        <f>(O16*N16)</f>
        <v>2.7324000000000006</v>
      </c>
    </row>
    <row r="17" spans="14:16">
      <c r="N17" s="24">
        <f>($B$10/5)</f>
        <v>7.5464000000000003E-2</v>
      </c>
      <c r="O17" s="37">
        <f>($C$10*Params!K11)</f>
        <v>65.832714936923566</v>
      </c>
      <c r="P17" s="37">
        <f>(O17*N17)</f>
        <v>4.968</v>
      </c>
    </row>
    <row r="19" spans="14:16">
      <c r="P19" s="37">
        <f>(SUM(P14:P17))</f>
        <v>11.302200000000001</v>
      </c>
    </row>
  </sheetData>
  <conditionalFormatting sqref="C5">
    <cfRule type="cellIs" dxfId="213" priority="15" operator="lessThan">
      <formula>$J$3</formula>
    </cfRule>
    <cfRule type="cellIs" dxfId="212" priority="16" operator="greaterThan">
      <formula>$J$3</formula>
    </cfRule>
  </conditionalFormatting>
  <conditionalFormatting sqref="C9:C10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S6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S9">
    <cfRule type="cellIs" dxfId="207" priority="9" operator="lessThan">
      <formula>$J$3</formula>
    </cfRule>
    <cfRule type="cellIs" dxfId="206" priority="10" operator="greaterThan">
      <formula>$J$3</formula>
    </cfRule>
  </conditionalFormatting>
  <conditionalFormatting sqref="O7:O9">
    <cfRule type="cellIs" dxfId="205" priority="7" operator="lessThan">
      <formula>$J$3</formula>
    </cfRule>
    <cfRule type="cellIs" dxfId="204" priority="8" operator="greaterThan">
      <formula>$J$3</formula>
    </cfRule>
  </conditionalFormatting>
  <conditionalFormatting sqref="O14:O17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3">
    <cfRule type="cellIs" dxfId="201" priority="3" operator="greaterThan">
      <formula>$J$3</formula>
    </cfRule>
    <cfRule type="cellIs" dxfId="200" priority="4" operator="lessThan">
      <formula>$J$3</formula>
    </cfRule>
  </conditionalFormatting>
  <conditionalFormatting sqref="G12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7">
        <v>2.549758190183785E-3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2.4357489110951871</v>
      </c>
      <c r="K4" s="4">
        <f>(J4/D13-1)</f>
        <v>-0.13996806286959429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7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7">
        <f>(T5/R5)</f>
        <v>3.3950093362756749E-3</v>
      </c>
      <c r="T5" s="38">
        <f>(D5)</f>
        <v>3</v>
      </c>
    </row>
    <row r="6" spans="2:20">
      <c r="B6" s="19">
        <v>-170.21276596000001</v>
      </c>
      <c r="C6" s="47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7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7">
        <v>0</v>
      </c>
      <c r="T6" s="38">
        <f>(SUM(D6:D11))</f>
        <v>-0.16783900000000007</v>
      </c>
    </row>
    <row r="7" spans="2:20">
      <c r="B7" s="19">
        <v>-175.57251908000001</v>
      </c>
      <c r="C7" s="47">
        <f t="shared" si="0"/>
        <v>5.0894468262020218E-3</v>
      </c>
      <c r="D7" s="37">
        <v>-0.893567</v>
      </c>
      <c r="N7" s="19">
        <f>(($B$5+$R$6)/5)</f>
        <v>191.05724773999998</v>
      </c>
      <c r="O7" s="47">
        <f>($C$5*Params!K9)</f>
        <v>5.4320149380410803E-3</v>
      </c>
      <c r="P7" s="37">
        <f>(O7*N7)</f>
        <v>1.0378258237446953</v>
      </c>
      <c r="S7" s="47"/>
    </row>
    <row r="8" spans="2:20">
      <c r="B8" s="19">
        <v>-167.78523490000001</v>
      </c>
      <c r="C8" s="47">
        <f t="shared" si="0"/>
        <v>7.2337771599710653E-3</v>
      </c>
      <c r="D8" s="37">
        <v>-1.213721</v>
      </c>
      <c r="N8" s="19">
        <f>(($B$5+$R$6)/5)</f>
        <v>191.05724773999998</v>
      </c>
      <c r="O8" s="47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7">
        <f t="shared" si="0"/>
        <v>5.7642178485542315E-3</v>
      </c>
      <c r="D9" s="37">
        <v>1.1300110000000001</v>
      </c>
      <c r="N9" s="19">
        <f>(($B$5+$R$6)/5)</f>
        <v>191.05724773999998</v>
      </c>
      <c r="O9" s="47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7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7">
        <f t="shared" si="0"/>
        <v>3.8549860588491342E-3</v>
      </c>
      <c r="D11" s="37">
        <v>0.737757</v>
      </c>
    </row>
    <row r="12" spans="2:20">
      <c r="F12" t="s">
        <v>9</v>
      </c>
      <c r="G12" s="47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197" priority="17" operator="lessThan">
      <formula>$J$3</formula>
    </cfRule>
    <cfRule type="cellIs" dxfId="196" priority="18" operator="greaterThan">
      <formula>$J$3</formula>
    </cfRule>
  </conditionalFormatting>
  <conditionalFormatting sqref="C9:C11">
    <cfRule type="cellIs" dxfId="195" priority="15" operator="lessThan">
      <formula>$J$3</formula>
    </cfRule>
    <cfRule type="cellIs" dxfId="194" priority="16" operator="greaterThan">
      <formula>$J$3</formula>
    </cfRule>
    <cfRule type="cellIs" dxfId="193" priority="13" operator="lessThan">
      <formula>$J$3</formula>
    </cfRule>
    <cfRule type="cellIs" dxfId="192" priority="14" operator="greaterThan">
      <formula>$J$3</formula>
    </cfRule>
  </conditionalFormatting>
  <conditionalFormatting sqref="O6:O9">
    <cfRule type="cellIs" dxfId="191" priority="11" operator="lessThan">
      <formula>$J$3</formula>
    </cfRule>
    <cfRule type="cellIs" dxfId="190" priority="12" operator="greaterThan">
      <formula>$J$3</formula>
    </cfRule>
    <cfRule type="cellIs" dxfId="189" priority="9" operator="lessThan">
      <formula>$J$3</formula>
    </cfRule>
    <cfRule type="cellIs" dxfId="188" priority="10" operator="greaterThan">
      <formula>$J$3</formula>
    </cfRule>
  </conditionalFormatting>
  <conditionalFormatting sqref="S5">
    <cfRule type="cellIs" dxfId="187" priority="7" operator="lessThan">
      <formula>$J$3</formula>
    </cfRule>
    <cfRule type="cellIs" dxfId="186" priority="8" operator="greaterThan">
      <formula>$J$3</formula>
    </cfRule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G12">
    <cfRule type="cellIs" dxfId="183" priority="3" operator="lessThan">
      <formula>$J$3</formula>
    </cfRule>
    <cfRule type="cellIs" dxfId="182" priority="4" operator="greaterThan">
      <formula>$J$3</formula>
    </cfRule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B11" sqref="B11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306.88862702144053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149.1072376093162</v>
      </c>
      <c r="K4" s="4">
        <f>(J4/D15-1)</f>
        <v>3.9725701852737494E-3</v>
      </c>
      <c r="R4" t="s">
        <v>5</v>
      </c>
      <c r="S4" t="s">
        <v>6</v>
      </c>
      <c r="T4" t="s">
        <v>7</v>
      </c>
    </row>
    <row r="5" spans="2:21">
      <c r="B5" s="48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8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8">
        <v>6.6478800000000001E-3</v>
      </c>
      <c r="C6" s="37">
        <v>373</v>
      </c>
      <c r="D6" s="37">
        <f>(C6*B6)</f>
        <v>2.4796592400000002</v>
      </c>
      <c r="M6" t="s">
        <v>11</v>
      </c>
      <c r="N6" s="24">
        <f>($R$8/5)</f>
        <v>7.6305999999999999E-2</v>
      </c>
      <c r="O6" s="37">
        <f>($S$8*Params!K8)</f>
        <v>397.84027468351115</v>
      </c>
      <c r="P6" s="37">
        <f>(O6*N6)</f>
        <v>30.357600000000001</v>
      </c>
      <c r="R6" s="48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8">
        <v>2.3499999999999999E-4</v>
      </c>
      <c r="C7" s="37">
        <v>0</v>
      </c>
      <c r="D7" s="37">
        <v>0</v>
      </c>
      <c r="E7" s="37">
        <f>(B7*J3)</f>
        <v>7.2118827350038522E-2</v>
      </c>
      <c r="N7" s="24">
        <f>($R$8/5)</f>
        <v>7.6305999999999999E-2</v>
      </c>
      <c r="O7" s="37">
        <f>($S$8*Params!K9)</f>
        <v>489.6495688412445</v>
      </c>
      <c r="P7" s="37">
        <f>(O7*N7)</f>
        <v>37.363199999999999</v>
      </c>
      <c r="R7" s="48">
        <f>(B7+B8+B10)</f>
        <v>9.9197E-4</v>
      </c>
      <c r="S7" s="37">
        <f>(C7)</f>
        <v>0</v>
      </c>
      <c r="T7" s="37">
        <f>(R7*S7)</f>
        <v>0</v>
      </c>
    </row>
    <row r="8" spans="2:21">
      <c r="B8" s="48">
        <v>9.4980000000000002E-5</v>
      </c>
      <c r="C8" s="37">
        <v>0</v>
      </c>
      <c r="D8" s="37">
        <v>0</v>
      </c>
      <c r="E8" s="37">
        <f>(B8*J3)</f>
        <v>2.9148281794496422E-2</v>
      </c>
      <c r="N8" s="24">
        <f>($R$8/5)</f>
        <v>7.6305999999999999E-2</v>
      </c>
      <c r="O8" s="37">
        <f>($S$8*Params!K10)</f>
        <v>673.26815715671125</v>
      </c>
      <c r="P8" s="37">
        <f>(O8*N8)</f>
        <v>51.374400000000009</v>
      </c>
      <c r="R8" s="48">
        <f>(B11)</f>
        <v>0.38152999999999998</v>
      </c>
      <c r="S8" s="37">
        <f>(C11)</f>
        <v>306.03098052577781</v>
      </c>
      <c r="T8" s="37">
        <f>(R8*S8)</f>
        <v>116.76</v>
      </c>
      <c r="U8" t="s">
        <v>10</v>
      </c>
    </row>
    <row r="9" spans="2:21">
      <c r="B9" s="48">
        <v>9.0920000000000004E-5</v>
      </c>
      <c r="C9" s="37">
        <v>276</v>
      </c>
      <c r="D9" s="37">
        <f>(B9*C9)</f>
        <v>2.5093920000000002E-2</v>
      </c>
      <c r="E9" s="37"/>
      <c r="N9" s="24">
        <f>($R$8/5)</f>
        <v>7.6305999999999999E-2</v>
      </c>
      <c r="O9" s="37">
        <f>($S$8*Params!K11)</f>
        <v>1224.1239221031112</v>
      </c>
      <c r="P9" s="37">
        <f>(O9*N9)</f>
        <v>93.408000000000001</v>
      </c>
      <c r="R9" s="48">
        <f>(B12)</f>
        <v>9.4380000000000006E-2</v>
      </c>
      <c r="S9" s="37">
        <f>(C12)</f>
        <v>304.08984954439495</v>
      </c>
      <c r="T9" s="37">
        <f>(R9*S9)</f>
        <v>28.699999999999996</v>
      </c>
      <c r="U9" t="s">
        <v>15</v>
      </c>
    </row>
    <row r="10" spans="2:21">
      <c r="B10" s="48">
        <v>6.6199E-4</v>
      </c>
      <c r="C10" s="37">
        <v>0</v>
      </c>
      <c r="D10" s="37">
        <v>0</v>
      </c>
      <c r="E10" s="37">
        <f>(B10*J3)</f>
        <v>0.2031572022019234</v>
      </c>
      <c r="P10" s="37"/>
      <c r="R10" s="48"/>
    </row>
    <row r="11" spans="2:21">
      <c r="B11" s="48">
        <v>0.38152999999999998</v>
      </c>
      <c r="C11" s="37">
        <f>(D11/B11)</f>
        <v>306.03098052577781</v>
      </c>
      <c r="D11" s="37">
        <v>116.76</v>
      </c>
      <c r="E11" t="s">
        <v>10</v>
      </c>
      <c r="P11" s="37">
        <f>(SUM(P6:P9))</f>
        <v>212.50319999999999</v>
      </c>
    </row>
    <row r="12" spans="2:21">
      <c r="B12" s="48">
        <v>9.4380000000000006E-2</v>
      </c>
      <c r="C12" s="37">
        <f>(D12/B12)</f>
        <v>304.08984954439495</v>
      </c>
      <c r="D12" s="37">
        <v>28.7</v>
      </c>
      <c r="E12" t="s">
        <v>15</v>
      </c>
    </row>
    <row r="13" spans="2:21">
      <c r="B13" s="48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1.8876E-2</v>
      </c>
      <c r="O14" s="37">
        <f>($S$9*Params!K8)</f>
        <v>395.31680440771345</v>
      </c>
      <c r="P14" s="37">
        <f>(O14*N14)</f>
        <v>7.4619999999999989</v>
      </c>
    </row>
    <row r="15" spans="2:21">
      <c r="B15" s="48">
        <f>(SUM(B5:B14))</f>
        <v>0.48586759000000002</v>
      </c>
      <c r="D15" s="37">
        <f>(SUM(D5:D14))</f>
        <v>148.51724243999999</v>
      </c>
      <c r="F15" t="s">
        <v>9</v>
      </c>
      <c r="G15" s="37">
        <f>(SUM(D5:D14)/SUM(B5:B14))</f>
        <v>305.67431435383452</v>
      </c>
      <c r="N15" s="24">
        <f>($R$9/5)</f>
        <v>1.8876E-2</v>
      </c>
      <c r="O15" s="37">
        <f>($S$9*Params!K9)</f>
        <v>486.54375927103194</v>
      </c>
      <c r="P15" s="37">
        <f>(O15*N15)</f>
        <v>9.1839999999999993</v>
      </c>
    </row>
    <row r="16" spans="2:21">
      <c r="N16" s="24">
        <f>($R$9/5)</f>
        <v>1.8876E-2</v>
      </c>
      <c r="O16" s="37">
        <f>($S$9*Params!K10)</f>
        <v>668.99766899766894</v>
      </c>
      <c r="P16" s="37">
        <f>(O16*N16)</f>
        <v>12.627999999999998</v>
      </c>
    </row>
    <row r="17" spans="13:16">
      <c r="N17" s="24">
        <f>($R$9/5)</f>
        <v>1.8876E-2</v>
      </c>
      <c r="O17" s="37">
        <f>($S$9*Params!K11)</f>
        <v>1216.3593981775798</v>
      </c>
      <c r="P17" s="37">
        <f>(O17*N17)</f>
        <v>22.959999999999997</v>
      </c>
    </row>
    <row r="18" spans="13:16">
      <c r="P18" s="37"/>
    </row>
    <row r="19" spans="13:16">
      <c r="P19" s="37">
        <f>(SUM(P14:P17))</f>
        <v>52.233999999999995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6.61942E-4</v>
      </c>
      <c r="O22" s="37">
        <f>($S$5*Params!K8)</f>
        <v>323.96134165178148</v>
      </c>
      <c r="P22" s="37">
        <f>(O22*N22)</f>
        <v>0.21444361841566353</v>
      </c>
    </row>
    <row r="23" spans="13:16">
      <c r="N23" s="24">
        <f>(($R$5+$R$7)/5)</f>
        <v>6.61942E-4</v>
      </c>
      <c r="O23" s="37">
        <f>($S$5*Params!K9)</f>
        <v>398.72165126373102</v>
      </c>
      <c r="P23" s="37">
        <f>(O23*N23)</f>
        <v>0.26393060728081663</v>
      </c>
    </row>
    <row r="24" spans="13:16">
      <c r="N24" s="24">
        <f>(($R$5+$R$7)/5)</f>
        <v>6.61942E-4</v>
      </c>
      <c r="O24" s="37">
        <f>($S$5*Params!K10)</f>
        <v>548.24227048763021</v>
      </c>
      <c r="P24" s="37">
        <f>(O24*N24)</f>
        <v>0.36290458501112294</v>
      </c>
    </row>
    <row r="25" spans="13:16">
      <c r="N25" s="24">
        <f>(($R$5+$R$7)/5)</f>
        <v>6.61942E-4</v>
      </c>
      <c r="O25" s="37">
        <f>($S$5*Params!K11)</f>
        <v>996.80412815932755</v>
      </c>
      <c r="P25" s="37">
        <f>(O25*N25)</f>
        <v>0.65982651820204163</v>
      </c>
    </row>
    <row r="26" spans="13:16">
      <c r="P26" s="37"/>
    </row>
    <row r="27" spans="13:16">
      <c r="P27" s="37">
        <f>(SUM(P22:P25))</f>
        <v>1.5011053289096448</v>
      </c>
    </row>
    <row r="35" spans="18:20">
      <c r="R35" s="48">
        <f>(SUM(R5:R25))</f>
        <v>0.48586759000000002</v>
      </c>
      <c r="T35" s="37">
        <f>(SUM(T5:T25))</f>
        <v>148.51724243999999</v>
      </c>
    </row>
  </sheetData>
  <conditionalFormatting sqref="C5:C6 C9 C11:C13">
    <cfRule type="cellIs" dxfId="179" priority="9" operator="lessThan">
      <formula>$J$3</formula>
    </cfRule>
    <cfRule type="cellIs" dxfId="178" priority="10" operator="greaterThan">
      <formula>$J$3</formula>
    </cfRule>
  </conditionalFormatting>
  <conditionalFormatting sqref="O6:O9">
    <cfRule type="cellIs" dxfId="177" priority="7" operator="lessThan">
      <formula>$J$3</formula>
    </cfRule>
    <cfRule type="cellIs" dxfId="176" priority="8" operator="greaterThan">
      <formula>$J$3</formula>
    </cfRule>
  </conditionalFormatting>
  <conditionalFormatting sqref="O14:O17">
    <cfRule type="cellIs" dxfId="175" priority="5" operator="lessThan">
      <formula>$J$3</formula>
    </cfRule>
    <cfRule type="cellIs" dxfId="174" priority="6" operator="greaterThan">
      <formula>$J$3</formula>
    </cfRule>
  </conditionalFormatting>
  <conditionalFormatting sqref="O22:O2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S5:S6 S8:S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7.1314276675700922E-2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4.3712071304601299</v>
      </c>
      <c r="K4" s="4">
        <f>(J4/D13-1)</f>
        <v>-0.12575857390797407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0.17586115999999999</v>
      </c>
      <c r="C6" s="39">
        <v>0</v>
      </c>
      <c r="D6" s="26">
        <f>(B6*C6)</f>
        <v>0</v>
      </c>
      <c r="E6" s="37">
        <f>(B6*J3)</f>
        <v>1.2541411420749706E-2</v>
      </c>
      <c r="M6" t="s">
        <v>11</v>
      </c>
      <c r="N6" s="29">
        <f>($B$13/5)</f>
        <v>12.258995909999999</v>
      </c>
      <c r="O6" s="37">
        <f>($C$5*Params!K8)</f>
        <v>0.10634970155367125</v>
      </c>
      <c r="P6" s="37">
        <f>(O6*N6)</f>
        <v>1.3037405563761764</v>
      </c>
    </row>
    <row r="7" spans="2:16">
      <c r="N7" s="29">
        <f>($B$13/5)</f>
        <v>12.258995909999999</v>
      </c>
      <c r="O7" s="37">
        <f>($C$5*Params!K9)</f>
        <v>0.13089194037374924</v>
      </c>
      <c r="P7" s="37">
        <f>(O7*N7)</f>
        <v>1.6046037616937556</v>
      </c>
    </row>
    <row r="8" spans="2:16">
      <c r="N8" s="29">
        <f>($B$13/5)</f>
        <v>12.258995909999999</v>
      </c>
      <c r="O8" s="37">
        <f>($C$5*Params!K10)</f>
        <v>0.17997641801390521</v>
      </c>
      <c r="P8" s="37">
        <f>(O8*N8)</f>
        <v>2.2063301723289142</v>
      </c>
    </row>
    <row r="9" spans="2:16">
      <c r="N9" s="29">
        <f>($B$13/5)</f>
        <v>12.258995909999999</v>
      </c>
      <c r="O9" s="37">
        <f>($C$5*Params!K11)</f>
        <v>0.32722985093437307</v>
      </c>
      <c r="P9" s="37">
        <f>(O9*N9)</f>
        <v>4.0115094042343893</v>
      </c>
    </row>
    <row r="11" spans="2:16">
      <c r="P11" s="37">
        <f>(SUM(P6:P9))</f>
        <v>9.1261838946332361</v>
      </c>
    </row>
    <row r="12" spans="2:16">
      <c r="F12" t="s">
        <v>9</v>
      </c>
      <c r="G12" s="37">
        <f>(D13/B13)</f>
        <v>8.1572749297050717E-2</v>
      </c>
    </row>
    <row r="13" spans="2:16">
      <c r="B13" s="29">
        <f>(SUM(B5:B12))</f>
        <v>61.294979549999994</v>
      </c>
      <c r="D13" s="37">
        <f>(SUM(D5:D12))</f>
        <v>5</v>
      </c>
    </row>
  </sheetData>
  <conditionalFormatting sqref="O6:O9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C5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12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7" sqref="B7"/>
    </sheetView>
  </sheetViews>
  <sheetFormatPr baseColWidth="10" defaultColWidth="9.140625" defaultRowHeight="15"/>
  <cols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5.3093012552041161</v>
      </c>
      <c r="M3" t="s">
        <v>4</v>
      </c>
      <c r="N3">
        <f>(INDEX(N6:N30,MATCH(MAX(O6,O15),O6:O30,0))/0.9)</f>
        <v>0.2123197</v>
      </c>
      <c r="O3" s="38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25.651112635396142</v>
      </c>
      <c r="K4" s="4">
        <f>(J4/D14-1)</f>
        <v>-8.1406776203367781E-2</v>
      </c>
      <c r="R4" t="s">
        <v>5</v>
      </c>
      <c r="S4" t="s">
        <v>6</v>
      </c>
      <c r="T4" t="s">
        <v>7</v>
      </c>
    </row>
    <row r="5" spans="2:21">
      <c r="B5">
        <v>4.9157000000000002</v>
      </c>
      <c r="C5" s="37">
        <f>(D5/B5)</f>
        <v>5.8384360314909367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1.7492420000000002E-2</v>
      </c>
      <c r="S5" s="39">
        <v>0</v>
      </c>
      <c r="T5" s="26">
        <f>(D6)</f>
        <v>0</v>
      </c>
      <c r="U5">
        <f>(R5*J3)</f>
        <v>9.28725274625576E-2</v>
      </c>
    </row>
    <row r="6" spans="2:21">
      <c r="B6" s="25">
        <v>1.7492420000000002E-2</v>
      </c>
      <c r="C6" s="39">
        <v>0</v>
      </c>
      <c r="D6" s="26">
        <f>(B6*C6)</f>
        <v>0</v>
      </c>
      <c r="E6" s="37">
        <f>(B6*J3)</f>
        <v>9.28725274625576E-2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4.7246122699999997</v>
      </c>
      <c r="S6" s="37">
        <f>(T6/R6)</f>
        <v>5.8840371086667798</v>
      </c>
      <c r="T6" s="37">
        <f>(D5+4.710957*-N6)</f>
        <v>27.799793920742388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1.7751922699999998</v>
      </c>
      <c r="O7" s="37">
        <f>($S$6*Params!K9)</f>
        <v>9.4144593738668476</v>
      </c>
      <c r="P7" s="37">
        <f>(O7*N7)</f>
        <v>16.712475506717468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0.98314000000000001</v>
      </c>
      <c r="O8" s="37">
        <f>($C$5*Params!K10)</f>
        <v>12.844559269280062</v>
      </c>
      <c r="P8" s="37">
        <f>(O8*N8)</f>
        <v>12.628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0.98314000000000001</v>
      </c>
      <c r="O9" s="37">
        <f>($C$5*Params!K11)</f>
        <v>23.353744125963747</v>
      </c>
      <c r="P9" s="37">
        <f>(O9*N9)</f>
        <v>22.959999999999997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53.442754478479564</v>
      </c>
    </row>
    <row r="13" spans="2:21">
      <c r="F13" t="s">
        <v>9</v>
      </c>
      <c r="G13" s="37">
        <f>(D14/B14)</f>
        <v>5.7798175706764683</v>
      </c>
      <c r="N13" s="24"/>
      <c r="P13" s="37"/>
      <c r="R13" s="24">
        <f>(SUM(R5:R12))</f>
        <v>4.8313537699999998</v>
      </c>
      <c r="T13" s="37">
        <f>(SUM(T5:T12))</f>
        <v>27.924343409999999</v>
      </c>
    </row>
    <row r="14" spans="2:21">
      <c r="B14">
        <f>(SUM(B5:B13))</f>
        <v>4.8313537700000007</v>
      </c>
      <c r="D14" s="37">
        <f>(SUM(D5:D13))</f>
        <v>27.924343409999999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63" priority="13" operator="lessThan">
      <formula>$J$3</formula>
    </cfRule>
    <cfRule type="cellIs" dxfId="162" priority="14" operator="greaterThan">
      <formula>$J$3</formula>
    </cfRule>
  </conditionalFormatting>
  <conditionalFormatting sqref="G13">
    <cfRule type="cellIs" dxfId="161" priority="11" operator="lessThan">
      <formula>$J$3</formula>
    </cfRule>
    <cfRule type="cellIs" dxfId="160" priority="12" operator="greaterThan">
      <formula>$J$3</formula>
    </cfRule>
  </conditionalFormatting>
  <conditionalFormatting sqref="S6">
    <cfRule type="cellIs" dxfId="159" priority="9" operator="lessThan">
      <formula>$J$3</formula>
    </cfRule>
    <cfRule type="cellIs" dxfId="158" priority="10" operator="greaterThan">
      <formula>$J$3</formula>
    </cfRule>
  </conditionalFormatting>
  <conditionalFormatting sqref="S8">
    <cfRule type="cellIs" dxfId="157" priority="7" operator="lessThan">
      <formula>$J$3</formula>
    </cfRule>
    <cfRule type="cellIs" dxfId="156" priority="8" operator="greaterThan">
      <formula>$J$3</formula>
    </cfRule>
  </conditionalFormatting>
  <conditionalFormatting sqref="O7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16:O18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O3">
    <cfRule type="cellIs" dxfId="151" priority="1" operator="greaterThan">
      <formula>$J$3</formula>
    </cfRule>
    <cfRule type="cellIs" dxfId="150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36.417961673154302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4.4843992749064352</v>
      </c>
      <c r="K4" s="4">
        <f>(J4/D13-1)</f>
        <v>-0.13761552405645483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2.2893499999999999E-3</v>
      </c>
      <c r="C6" s="39">
        <v>0</v>
      </c>
      <c r="D6" s="26">
        <f>(B6*C6)</f>
        <v>0</v>
      </c>
      <c r="E6" s="37">
        <f>(B6*J3)</f>
        <v>8.3373460556435797E-2</v>
      </c>
      <c r="M6" t="s">
        <v>11</v>
      </c>
      <c r="N6" s="24">
        <f>($B$13/5)</f>
        <v>2.4627403999999999E-2</v>
      </c>
      <c r="O6" s="37">
        <f>($C$5*Params!K8)</f>
        <v>55.939</v>
      </c>
      <c r="P6" s="37">
        <f>(O6*N6)</f>
        <v>1.3776323523559999</v>
      </c>
    </row>
    <row r="7" spans="2:16">
      <c r="N7" s="24">
        <f>($B$13/5)</f>
        <v>2.4627403999999999E-2</v>
      </c>
      <c r="O7" s="37">
        <f>($C$5*Params!K9)</f>
        <v>68.847999999999999</v>
      </c>
      <c r="P7" s="37">
        <f>(O7*N7)</f>
        <v>1.6955475105919999</v>
      </c>
    </row>
    <row r="8" spans="2:16">
      <c r="N8" s="24">
        <f>($B$13/5)</f>
        <v>2.4627403999999999E-2</v>
      </c>
      <c r="O8" s="37">
        <f>($C$5*Params!K10)</f>
        <v>94.666000000000011</v>
      </c>
      <c r="P8" s="37">
        <f>(O8*N8)</f>
        <v>2.3313778270640002</v>
      </c>
    </row>
    <row r="9" spans="2:16">
      <c r="N9" s="24">
        <f>($B$13/5)</f>
        <v>2.4627403999999999E-2</v>
      </c>
      <c r="O9" s="37">
        <f>($C$5*Params!K11)</f>
        <v>172.12</v>
      </c>
      <c r="P9" s="37">
        <f>(O9*N9)</f>
        <v>4.2388687764799995</v>
      </c>
    </row>
    <row r="11" spans="2:16">
      <c r="P11" s="37">
        <f>(SUM(P6:P9))</f>
        <v>9.6434264664919986</v>
      </c>
    </row>
    <row r="12" spans="2:16">
      <c r="F12" t="s">
        <v>9</v>
      </c>
      <c r="G12" s="37">
        <f>(D13/B13)</f>
        <v>42.229379921651507</v>
      </c>
    </row>
    <row r="13" spans="2:16">
      <c r="B13">
        <f>(SUM(B5:B12))</f>
        <v>0.12313702</v>
      </c>
      <c r="D13" s="37">
        <f>(SUM(D5:D12))</f>
        <v>5.2</v>
      </c>
    </row>
  </sheetData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4.7405663498444781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5.6068684427289899</v>
      </c>
      <c r="K4" s="4">
        <f>(J4/D10-1)</f>
        <v>-0.11002088210650951</v>
      </c>
    </row>
    <row r="5" spans="2:16">
      <c r="B5">
        <v>1.1823300000000001</v>
      </c>
      <c r="C5" s="37">
        <f>(D5/B5)</f>
        <v>5.3284615970160605</v>
      </c>
      <c r="D5" s="37">
        <v>6.3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1.9546303173678752E-3</v>
      </c>
      <c r="M6" t="s">
        <v>11</v>
      </c>
      <c r="N6" s="24">
        <f>($B$10/5)</f>
        <v>0.23654846400000001</v>
      </c>
      <c r="O6" s="37">
        <f>($C$5*Params!K8)</f>
        <v>6.927000076120879</v>
      </c>
      <c r="P6" s="37">
        <f>(O6*N6)</f>
        <v>1.638571228134277</v>
      </c>
    </row>
    <row r="7" spans="2:16">
      <c r="N7" s="24">
        <f>($B$10/5)</f>
        <v>0.23654846400000001</v>
      </c>
      <c r="O7" s="37">
        <f>($C$5*Params!K9)</f>
        <v>8.5255385552256975</v>
      </c>
      <c r="P7" s="37">
        <f>(O7*N7)</f>
        <v>2.0167030500114178</v>
      </c>
    </row>
    <row r="8" spans="2:16">
      <c r="N8" s="24">
        <f>($B$10/5)</f>
        <v>0.23654846400000001</v>
      </c>
      <c r="O8" s="37">
        <f>($C$5*Params!K10)</f>
        <v>11.722615513435334</v>
      </c>
      <c r="P8" s="37">
        <f>(O8*N8)</f>
        <v>2.7729666937656998</v>
      </c>
    </row>
    <row r="9" spans="2:16">
      <c r="F9" t="s">
        <v>9</v>
      </c>
      <c r="G9" s="37">
        <f>(D10/B10)</f>
        <v>5.3266040230977785</v>
      </c>
      <c r="N9" s="24">
        <f>($B$10/5)</f>
        <v>0.23654846400000001</v>
      </c>
      <c r="O9" s="37">
        <f>($C$5*Params!K11)</f>
        <v>21.313846388064242</v>
      </c>
      <c r="P9" s="37">
        <f>(O9*N9)</f>
        <v>5.041757625028545</v>
      </c>
    </row>
    <row r="10" spans="2:16">
      <c r="B10">
        <f>(SUM(B5:B9))</f>
        <v>1.18274232</v>
      </c>
      <c r="D10" s="37">
        <f>(SUM(D5:D9))</f>
        <v>6.3</v>
      </c>
    </row>
    <row r="11" spans="2:16">
      <c r="P11" s="37">
        <f>(SUM(P6:P9))</f>
        <v>11.46999859693994</v>
      </c>
    </row>
    <row r="12" spans="2:16">
      <c r="P12" s="37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6:O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2.098288696401891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8.2415609181831737</v>
      </c>
      <c r="K4" s="4">
        <f>(J4/D10-1)</f>
        <v>-7.5021221303796404E-2</v>
      </c>
    </row>
    <row r="5" spans="2:16">
      <c r="B5" s="1">
        <v>3.9178700000000002</v>
      </c>
      <c r="C5" s="37">
        <f>(D5/B5)</f>
        <v>2.2741949069264678</v>
      </c>
      <c r="D5" s="37">
        <v>8.91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9.8835699999999995E-3</v>
      </c>
      <c r="C6" s="39">
        <v>0</v>
      </c>
      <c r="D6" s="26">
        <f>(B6*C6)</f>
        <v>0</v>
      </c>
      <c r="E6" s="37">
        <f>(B6*J3)</f>
        <v>2.0738583211096836E-2</v>
      </c>
      <c r="M6" t="s">
        <v>11</v>
      </c>
      <c r="N6" s="1">
        <f>($B$10/5)</f>
        <v>0.78555071399999998</v>
      </c>
      <c r="O6" s="37">
        <f>($C$5*Params!K8)</f>
        <v>2.9564533790044081</v>
      </c>
      <c r="P6" s="37">
        <f>(O6*N6)</f>
        <v>2.3224440627846255</v>
      </c>
    </row>
    <row r="7" spans="2:16">
      <c r="N7" s="1">
        <f>($B$10/5)</f>
        <v>0.78555071399999998</v>
      </c>
      <c r="O7" s="37">
        <f>($C$5*Params!K9)</f>
        <v>3.6387118510823484</v>
      </c>
      <c r="P7" s="37">
        <f>(O7*N7)</f>
        <v>2.8583926926580006</v>
      </c>
    </row>
    <row r="8" spans="2:16">
      <c r="N8" s="1">
        <f>($B$10/5)</f>
        <v>0.78555071399999998</v>
      </c>
      <c r="O8" s="37">
        <f>($C$5*Params!K10)</f>
        <v>5.0032287952382291</v>
      </c>
      <c r="P8" s="37">
        <f>(O8*N8)</f>
        <v>3.9302899524047508</v>
      </c>
    </row>
    <row r="9" spans="2:16">
      <c r="F9" t="s">
        <v>9</v>
      </c>
      <c r="G9" s="37">
        <f>(D10/B10)</f>
        <v>2.2684722555035446</v>
      </c>
      <c r="N9" s="1">
        <f>($B$10/5)</f>
        <v>0.78555071399999998</v>
      </c>
      <c r="O9" s="37">
        <f>($C$5*Params!K11)</f>
        <v>9.096779627705871</v>
      </c>
      <c r="P9" s="37">
        <f>(O9*N9)</f>
        <v>7.1459817316450014</v>
      </c>
    </row>
    <row r="10" spans="2:16">
      <c r="B10" s="1">
        <f>(SUM(B5:B9))</f>
        <v>3.9277535700000001</v>
      </c>
      <c r="D10" s="37">
        <f>(SUM(D5:D9))</f>
        <v>8.91</v>
      </c>
    </row>
    <row r="11" spans="2:16">
      <c r="P11" s="37">
        <f>(SUM(P6:P9))</f>
        <v>16.257108439492377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24" sqref="B2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27117.978247542269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773.59212484959619</v>
      </c>
      <c r="K4" s="4">
        <f>(J4/D37-1)</f>
        <v>0.14781666697194873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3.1590999999999998E-4</v>
      </c>
      <c r="C6" s="39">
        <v>0</v>
      </c>
      <c r="D6" s="26">
        <f>(B6*C6)</f>
        <v>0</v>
      </c>
      <c r="E6" s="37">
        <f>(B6*J3)</f>
        <v>8.5668405081810768</v>
      </c>
      <c r="I6" t="s">
        <v>11</v>
      </c>
      <c r="J6">
        <v>0.03</v>
      </c>
      <c r="R6" s="24">
        <f t="shared" si="0"/>
        <v>3.1590999999999998E-4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1.4730899999999929E-3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39.947222576671848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5.4879999999999998E-3</v>
      </c>
      <c r="S19" s="37">
        <f t="shared" si="2"/>
        <v>22708.819023323616</v>
      </c>
      <c r="T19" s="37">
        <f>(D23+17438.6*B32)</f>
        <v>124.6259988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1.1779399999999999E-3</v>
      </c>
      <c r="S20" s="37">
        <f t="shared" si="2"/>
        <v>24283.035551895682</v>
      </c>
      <c r="T20" s="37">
        <f>(D24+17211.7*B31)</f>
        <v>28.603958897999998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5.8300000000000001E-3</v>
      </c>
      <c r="C23" s="37">
        <f t="shared" si="3"/>
        <v>22399.656946826759</v>
      </c>
      <c r="D23" s="37">
        <v>130.59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1.23E-3</v>
      </c>
      <c r="C24" s="37">
        <f t="shared" si="3"/>
        <v>23983.739837398374</v>
      </c>
      <c r="D24" s="37">
        <v>29.5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1.5100000000000001E-3</v>
      </c>
      <c r="S24" s="37">
        <f>(T24/R24)</f>
        <v>25794.701986754968</v>
      </c>
      <c r="T24" s="37">
        <f>(D34)</f>
        <v>38.950000000000003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1.5100000000000001E-3</v>
      </c>
      <c r="C34" s="37">
        <f>(D34/B34)</f>
        <v>25794.701986754968</v>
      </c>
      <c r="D34" s="37">
        <v>38.950000000000003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23625.705243575278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2.7797639999999998E-2</v>
      </c>
      <c r="T36" s="37">
        <f>(SUM(T5:T25))</f>
        <v>489.88980017</v>
      </c>
    </row>
    <row r="37" spans="2:20">
      <c r="B37">
        <f>(SUM(B5:B36))</f>
        <v>2.8526910000000006E-2</v>
      </c>
      <c r="D37" s="37">
        <f>(SUM(D5:D36))</f>
        <v>673.96836717000019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1.99E-3</v>
      </c>
      <c r="N50" s="37">
        <f>($S$19*Params!K16)</f>
        <v>45417.638046647233</v>
      </c>
      <c r="O50">
        <f>(N50*M50)</f>
        <v>90.381099712827989</v>
      </c>
    </row>
    <row r="51" spans="12:16">
      <c r="M51">
        <f>($B$23/5)</f>
        <v>1.1659999999999999E-3</v>
      </c>
      <c r="N51" s="37">
        <f>($S$19*Params!K17)</f>
        <v>90835.276093294466</v>
      </c>
      <c r="O51">
        <f>(N51*M51)</f>
        <v>105.91393192478134</v>
      </c>
    </row>
    <row r="52" spans="12:16">
      <c r="M52">
        <f>($B$23/5)</f>
        <v>1.1659999999999999E-3</v>
      </c>
      <c r="N52" s="37">
        <f>($S$19*Params!K18)</f>
        <v>181670.55218658893</v>
      </c>
      <c r="O52">
        <f>(N52*M52)</f>
        <v>211.82786384956268</v>
      </c>
    </row>
    <row r="54" spans="12:16">
      <c r="O54">
        <f>(SUM(O49:O52))</f>
        <v>415.57849548717201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4.3994000000000005E-4</v>
      </c>
      <c r="N58" s="37">
        <f>($S$20*Params!K16)</f>
        <v>48566.071103791364</v>
      </c>
      <c r="O58">
        <f>(N58*M58)</f>
        <v>21.366157321401975</v>
      </c>
    </row>
    <row r="59" spans="12:16">
      <c r="M59">
        <f>($B$24/5)</f>
        <v>2.4600000000000002E-4</v>
      </c>
      <c r="N59" s="37">
        <f>($S$20*Params!K17)</f>
        <v>97132.142207582729</v>
      </c>
      <c r="O59">
        <f>(N59*M59)</f>
        <v>23.894506983065352</v>
      </c>
    </row>
    <row r="60" spans="12:16">
      <c r="M60">
        <f>($B$24/5)</f>
        <v>2.4600000000000002E-4</v>
      </c>
      <c r="N60" s="37">
        <f>($S$20*Params!K18)</f>
        <v>194264.28441516546</v>
      </c>
      <c r="O60">
        <f>(N60*M60)</f>
        <v>47.789013966130703</v>
      </c>
    </row>
    <row r="62" spans="12:16">
      <c r="O62">
        <f>(SUM(O57:O60))</f>
        <v>94.172091870598024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3.0200000000000002E-4</v>
      </c>
      <c r="N73" s="37">
        <f>($S$24*Params!K15)</f>
        <v>38692.052980132452</v>
      </c>
      <c r="O73">
        <f>(N73*M73)</f>
        <v>11.685</v>
      </c>
    </row>
    <row r="74" spans="12:16">
      <c r="M74">
        <f>($R$24/5)</f>
        <v>3.0200000000000002E-4</v>
      </c>
      <c r="N74" s="37">
        <f>($S$24*Params!K16)</f>
        <v>51589.403973509936</v>
      </c>
      <c r="O74">
        <f>(N74*M74)</f>
        <v>15.580000000000002</v>
      </c>
    </row>
    <row r="75" spans="12:16">
      <c r="M75">
        <f>($R$24/5)</f>
        <v>3.0200000000000002E-4</v>
      </c>
      <c r="N75" s="37">
        <f>($S$24*Params!K17)</f>
        <v>103178.80794701987</v>
      </c>
      <c r="O75">
        <f>(N75*M75)</f>
        <v>31.160000000000004</v>
      </c>
    </row>
    <row r="76" spans="12:16">
      <c r="M76">
        <f>($R$24/5)</f>
        <v>3.0200000000000002E-4</v>
      </c>
      <c r="N76" s="37">
        <f>($S$24*Params!K18)</f>
        <v>206357.61589403974</v>
      </c>
      <c r="O76">
        <f>(N76*M76)</f>
        <v>62.320000000000007</v>
      </c>
    </row>
    <row r="78" spans="12:16">
      <c r="O78">
        <f>(SUM(O73:O76))</f>
        <v>120.745</v>
      </c>
    </row>
  </sheetData>
  <conditionalFormatting sqref="C5 C7:C17 C19:C20 C22:C25 C34:C35 G36 N10:N12 N20 N26:N28 N34 S5 S7:S21 S24">
    <cfRule type="cellIs" dxfId="297" priority="45" operator="lessThan">
      <formula>$J$3</formula>
    </cfRule>
    <cfRule type="cellIs" dxfId="296" priority="46" operator="greaterThan">
      <formula>$J$3</formula>
    </cfRule>
  </conditionalFormatting>
  <conditionalFormatting sqref="N35:N36">
    <cfRule type="cellIs" dxfId="295" priority="19" operator="lessThan">
      <formula>$J$3</formula>
    </cfRule>
    <cfRule type="cellIs" dxfId="294" priority="20" operator="greaterThan">
      <formula>$J$3</formula>
    </cfRule>
  </conditionalFormatting>
  <conditionalFormatting sqref="N42:N44">
    <cfRule type="cellIs" dxfId="293" priority="17" operator="lessThan">
      <formula>$J$3</formula>
    </cfRule>
    <cfRule type="cellIs" dxfId="292" priority="18" operator="greaterThan">
      <formula>$J$3</formula>
    </cfRule>
  </conditionalFormatting>
  <conditionalFormatting sqref="N50:N52">
    <cfRule type="cellIs" dxfId="291" priority="15" operator="lessThan">
      <formula>$J$3</formula>
    </cfRule>
    <cfRule type="cellIs" dxfId="290" priority="16" operator="greaterThan">
      <formula>$J$3</formula>
    </cfRule>
  </conditionalFormatting>
  <conditionalFormatting sqref="N58:N60">
    <cfRule type="cellIs" dxfId="289" priority="13" operator="lessThan">
      <formula>$J$3</formula>
    </cfRule>
    <cfRule type="cellIs" dxfId="288" priority="14" operator="greaterThan">
      <formula>$J$3</formula>
    </cfRule>
  </conditionalFormatting>
  <conditionalFormatting sqref="N66:N68">
    <cfRule type="cellIs" dxfId="287" priority="11" operator="lessThan">
      <formula>$J$3</formula>
    </cfRule>
    <cfRule type="cellIs" dxfId="286" priority="12" operator="greaterThan">
      <formula>$J$3</formula>
    </cfRule>
  </conditionalFormatting>
  <conditionalFormatting sqref="N73:N76">
    <cfRule type="cellIs" dxfId="285" priority="9" operator="lessThan">
      <formula>$J$3</formula>
    </cfRule>
    <cfRule type="cellIs" dxfId="284" priority="10" operator="greaterThan">
      <formula>$J$3</formula>
    </cfRule>
  </conditionalFormatting>
  <conditionalFormatting sqref="N4">
    <cfRule type="cellIs" dxfId="283" priority="1" operator="greaterThan">
      <formula>$J$3</formula>
    </cfRule>
    <cfRule type="cellIs" dxfId="28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6.4663227915008834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5.8376815036006757</v>
      </c>
      <c r="K4" s="4">
        <f>(J4/D10-1)</f>
        <v>-7.7775433870351351E-2</v>
      </c>
    </row>
    <row r="5" spans="2:16">
      <c r="B5">
        <v>0.90227999999999997</v>
      </c>
      <c r="C5" s="37">
        <f>(D5/B5)</f>
        <v>7.0155605798643439</v>
      </c>
      <c r="D5" s="37">
        <v>6.33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3.2477752852592338E-3</v>
      </c>
      <c r="M6" t="s">
        <v>11</v>
      </c>
      <c r="N6" s="24">
        <f>($B$10/5)</f>
        <v>0.18055645199999998</v>
      </c>
      <c r="O6" s="37">
        <f>($C$5*Params!K8)</f>
        <v>9.1202287538236479</v>
      </c>
      <c r="P6" s="37">
        <f>(O6*N6)</f>
        <v>1.6467161452187791</v>
      </c>
    </row>
    <row r="7" spans="2:16">
      <c r="C7" s="37"/>
      <c r="D7" s="37"/>
      <c r="N7" s="24">
        <f>($B$10/5)</f>
        <v>0.18055645199999998</v>
      </c>
      <c r="O7" s="37">
        <f>($C$5*Params!K9)</f>
        <v>11.22489692778295</v>
      </c>
      <c r="P7" s="37">
        <f>(O7*N7)</f>
        <v>2.0267275633461894</v>
      </c>
    </row>
    <row r="8" spans="2:16">
      <c r="C8" s="37"/>
      <c r="D8" s="37"/>
      <c r="N8" s="24">
        <f>($B$10/5)</f>
        <v>0.18055645199999998</v>
      </c>
      <c r="O8" s="37">
        <f>($C$5*Params!K10)</f>
        <v>15.434233275701558</v>
      </c>
      <c r="P8" s="37">
        <f>(O8*N8)</f>
        <v>2.786750399601011</v>
      </c>
    </row>
    <row r="9" spans="2:16">
      <c r="C9" s="37"/>
      <c r="D9" s="37"/>
      <c r="F9" t="s">
        <v>9</v>
      </c>
      <c r="G9" s="37">
        <f>(D10/B10)</f>
        <v>7.0116574953522024</v>
      </c>
      <c r="N9" s="24">
        <f>($B$10/5)</f>
        <v>0.18055645199999998</v>
      </c>
      <c r="O9" s="37">
        <f>($C$5*Params!K11)</f>
        <v>28.062242319457376</v>
      </c>
      <c r="P9" s="37">
        <f>(O9*N9)</f>
        <v>5.066818908365474</v>
      </c>
    </row>
    <row r="10" spans="2:16">
      <c r="B10">
        <f>(SUM(B5:B9))</f>
        <v>0.90278225999999995</v>
      </c>
      <c r="C10" s="37"/>
      <c r="D10" s="37">
        <f>(SUM(D5:D9))</f>
        <v>6.33</v>
      </c>
      <c r="O10" s="37"/>
      <c r="P10" s="37"/>
    </row>
    <row r="11" spans="2:16">
      <c r="O11" s="37"/>
      <c r="P11" s="37">
        <f>(SUM(P6:P9))</f>
        <v>11.527013016531452</v>
      </c>
    </row>
  </sheetData>
  <conditionalFormatting sqref="O6:O9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C5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89.011264516379981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10.890288773277543</v>
      </c>
      <c r="K4" s="4">
        <f>(J4/D13-1)</f>
        <v>0.41714765700498546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3.9634000000000002E-4</v>
      </c>
      <c r="C6" s="39">
        <v>0</v>
      </c>
      <c r="D6" s="26">
        <f>(B6*C6)</f>
        <v>0</v>
      </c>
      <c r="E6" s="37">
        <f>(B6*J3)</f>
        <v>3.5278724578422044E-2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3.9634000000000002E-4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3.0571602000000003E-2</v>
      </c>
      <c r="O7" s="37">
        <f>($C$7*Params!K9)</f>
        <v>110.09409409409409</v>
      </c>
      <c r="P7" s="37">
        <f>(O7*N7)</f>
        <v>3.3657528271951955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3.0571602000000003E-2</v>
      </c>
      <c r="O8" s="37">
        <f>($C$7*Params!K10)</f>
        <v>151.37937937937937</v>
      </c>
      <c r="P8" s="37">
        <f>(O8*N8)</f>
        <v>4.6279101373933935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3.0571602000000003E-2</v>
      </c>
      <c r="O9" s="37">
        <f>($C$7*Params!K11)</f>
        <v>275.23523523523522</v>
      </c>
      <c r="P9" s="37">
        <f>(O9*N9)</f>
        <v>8.4143820679879884</v>
      </c>
    </row>
    <row r="10" spans="2:20">
      <c r="O10" s="37"/>
      <c r="P10" s="37"/>
    </row>
    <row r="11" spans="2:20">
      <c r="O11" s="37"/>
      <c r="P11" s="37">
        <f>(SUM(P6:P9))</f>
        <v>19.190691482576575</v>
      </c>
    </row>
    <row r="12" spans="2:20">
      <c r="F12" t="s">
        <v>9</v>
      </c>
      <c r="G12" s="37">
        <f>(D13/B13)</f>
        <v>62.810155368352596</v>
      </c>
    </row>
    <row r="13" spans="2:20">
      <c r="B13">
        <f>(SUM(B5:B12))</f>
        <v>0.12234731000000001</v>
      </c>
      <c r="D13" s="37">
        <f>(SUM(D5:D12))</f>
        <v>7.6846535500000002</v>
      </c>
    </row>
    <row r="19" spans="18:20">
      <c r="R19">
        <f>(SUM(R5:R18))</f>
        <v>0.12234731000000001</v>
      </c>
      <c r="T19" s="37">
        <f>(SUM(T5:T18))</f>
        <v>7.6846535500000002</v>
      </c>
    </row>
  </sheetData>
  <conditionalFormatting sqref="C5 C7 O7:O9 S5 S7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O3">
    <cfRule type="cellIs" dxfId="125" priority="1" operator="greaterThan">
      <formula>$J$3</formula>
    </cfRule>
    <cfRule type="cellIs" dxfId="124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0.83392967322707856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1.3492430635121224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3.3587743465840238E-2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N9" sqref="N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8.4184086280798985E-5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28.595812023081187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47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47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0.38111624334899863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5.2271722329667858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23" priority="13" operator="lessThan">
      <formula>$J$3</formula>
    </cfRule>
    <cfRule type="cellIs" dxfId="122" priority="14" operator="greaterThan">
      <formula>$J$3</formula>
    </cfRule>
  </conditionalFormatting>
  <conditionalFormatting sqref="N6">
    <cfRule type="cellIs" dxfId="121" priority="9" operator="lessThan">
      <formula>$J$3</formula>
    </cfRule>
    <cfRule type="cellIs" dxfId="120" priority="10" operator="greaterThan">
      <formula>$J$3</formula>
    </cfRule>
  </conditionalFormatting>
  <conditionalFormatting sqref="N9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S5:S9 S13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37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0.88739090214831862</v>
      </c>
      <c r="N3" s="19"/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(B18*J3)</f>
        <v>37.270514589215992</v>
      </c>
      <c r="K4" s="4">
        <f>(J4/D18-1)</f>
        <v>-4.3520137131991321E-2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7">
        <f>(T5/R5)</f>
        <v>0.8606557377049181</v>
      </c>
      <c r="T5" s="37">
        <f>D5</f>
        <v>10.5</v>
      </c>
    </row>
    <row r="6" spans="2:21">
      <c r="B6" s="36">
        <v>0.23786504999999999</v>
      </c>
      <c r="C6" s="39">
        <v>0</v>
      </c>
      <c r="D6" s="26">
        <f>(B6*C6)</f>
        <v>0</v>
      </c>
      <c r="E6" s="37">
        <f>(B6*J3)</f>
        <v>0.2110792813090549</v>
      </c>
      <c r="M6" t="s">
        <v>11</v>
      </c>
      <c r="N6" s="19">
        <f>($B$7+$R$9)/5</f>
        <v>5.6777529997777778</v>
      </c>
      <c r="O6" s="37">
        <f>($S$7*Params!K8)</f>
        <v>1.3441237905227565</v>
      </c>
      <c r="P6" s="37">
        <f>(O6*N6)</f>
        <v>7.6316028837132581</v>
      </c>
      <c r="R6" s="36">
        <f>(B6)</f>
        <v>0.23786504999999999</v>
      </c>
      <c r="S6" s="39">
        <v>0</v>
      </c>
      <c r="T6" s="26">
        <f>(D6)</f>
        <v>0</v>
      </c>
      <c r="U6" s="37">
        <f>(R6*J3)</f>
        <v>0.2110792813090549</v>
      </c>
    </row>
    <row r="7" spans="2:21">
      <c r="B7" s="19">
        <v>27.757860000000001</v>
      </c>
      <c r="C7" s="37">
        <f t="shared" ref="C7:C14" si="0">(D7/B7)</f>
        <v>1.0339413773251973</v>
      </c>
      <c r="D7" s="37">
        <v>28.7</v>
      </c>
      <c r="E7" t="s">
        <v>15</v>
      </c>
      <c r="N7" s="19">
        <f>($B$7+$R$9)/5</f>
        <v>5.6777529997777778</v>
      </c>
      <c r="O7" s="37">
        <f>($S$7*Params!K9)</f>
        <v>1.6543062037203158</v>
      </c>
      <c r="P7" s="37">
        <f>(O7*N7)</f>
        <v>9.3927420107240103</v>
      </c>
      <c r="R7" s="19">
        <f>B7</f>
        <v>27.757860000000001</v>
      </c>
      <c r="S7" s="37">
        <f>(T7/R7)</f>
        <v>1.0339413773251973</v>
      </c>
      <c r="T7" s="37">
        <f>D7</f>
        <v>28.7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($B$7+$R$9)/5</f>
        <v>5.6777529997777778</v>
      </c>
      <c r="O8" s="37">
        <f>($S$7*Params!K10)</f>
        <v>2.2746710301154343</v>
      </c>
      <c r="P8" s="37">
        <f>(O8*N8)</f>
        <v>12.915020264745515</v>
      </c>
      <c r="R8" s="19">
        <f>B8</f>
        <v>0.63003905000000004</v>
      </c>
      <c r="S8" s="37">
        <f>C8</f>
        <v>0.79360160294826165</v>
      </c>
      <c r="T8" s="38">
        <f>D8</f>
        <v>0.5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($B$7+$R$9)/5</f>
        <v>5.6777529997777778</v>
      </c>
      <c r="O9" s="37">
        <f>($C$7*Params!K11)</f>
        <v>4.1357655093007892</v>
      </c>
      <c r="P9" s="37">
        <f>(O9*N9)</f>
        <v>23.481855026810024</v>
      </c>
      <c r="R9" s="19">
        <f>SUM(B9,B12,B13,B16)</f>
        <v>0.63090499888888907</v>
      </c>
      <c r="S9" s="37">
        <v>0</v>
      </c>
      <c r="T9" s="37">
        <f>SUM(D9,D12,D13,D16)</f>
        <v>-0.16714507569935888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 s="19">
        <f>SUM(B10,B11,B14,B15,)</f>
        <v>0.54343987111111103</v>
      </c>
      <c r="S10" s="37">
        <v>0</v>
      </c>
      <c r="T10" s="37">
        <f>SUM(D10,D11,D14,D15)</f>
        <v>-0.56652009999999953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53.421220185992809</v>
      </c>
      <c r="R11" s="19"/>
      <c r="S11" s="37"/>
      <c r="T11" s="37"/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($B$5+$R$10)/5</f>
        <v>2.5486879742222222</v>
      </c>
      <c r="O14" s="37">
        <f>($C$5*Params!K8)</f>
        <v>1.1188524590163935</v>
      </c>
      <c r="P14" s="37">
        <f>(O14*N14)</f>
        <v>2.8516058072240438</v>
      </c>
      <c r="S14" s="37"/>
      <c r="T14" s="37"/>
    </row>
    <row r="15" spans="2:21">
      <c r="B15" s="19">
        <f>2.44/0.9</f>
        <v>2.7111111111111108</v>
      </c>
      <c r="C15" s="37">
        <v>0.84715200000000002</v>
      </c>
      <c r="D15" s="37">
        <f>B15*C15</f>
        <v>2.2967231999999997</v>
      </c>
      <c r="N15" s="19">
        <f>($B$5+$R$10)/5</f>
        <v>2.5486879742222222</v>
      </c>
      <c r="O15" s="37">
        <f>($C$5*Params!K9)</f>
        <v>1.377049180327869</v>
      </c>
      <c r="P15" s="37">
        <f>(O15*N15)</f>
        <v>3.5096686858142081</v>
      </c>
      <c r="S15" s="37"/>
      <c r="T15" s="37"/>
    </row>
    <row r="16" spans="2:21">
      <c r="B16" s="19">
        <f>4.11968757-B15</f>
        <v>1.4085764588888892</v>
      </c>
      <c r="C16" s="37">
        <v>0.84715200000000002</v>
      </c>
      <c r="D16" s="37">
        <f>B16*C16</f>
        <v>1.1932783643006402</v>
      </c>
      <c r="N16" s="19">
        <f>($B$5+$R$10)/5</f>
        <v>2.5486879742222222</v>
      </c>
      <c r="O16" s="37">
        <f>($C$5*Params!K10)</f>
        <v>1.8934426229508199</v>
      </c>
      <c r="P16" s="37">
        <f>(O16*N16)</f>
        <v>4.8257944429945363</v>
      </c>
      <c r="S16" s="37"/>
      <c r="T16" s="37"/>
    </row>
    <row r="17" spans="2:20">
      <c r="B17" s="19"/>
      <c r="F17" t="s">
        <v>9</v>
      </c>
      <c r="G17" s="37">
        <f>(D18/B18)</f>
        <v>0.92776746965427315</v>
      </c>
      <c r="N17" s="19">
        <f>($B$5+$R$10)/5</f>
        <v>2.5486879742222222</v>
      </c>
      <c r="O17" s="37">
        <f>($C$5*Params!K11)</f>
        <v>3.4426229508196724</v>
      </c>
      <c r="P17" s="37">
        <f>(O17*N17)</f>
        <v>8.7741717145355196</v>
      </c>
      <c r="R17">
        <f>(SUM(R5:R12))</f>
        <v>42.000108969999999</v>
      </c>
      <c r="S17" s="37"/>
      <c r="T17" s="37">
        <f>(SUM(T5:T12))</f>
        <v>38.966334824300645</v>
      </c>
    </row>
    <row r="18" spans="2:20">
      <c r="B18" s="19">
        <f>(SUM(B5:B17))</f>
        <v>42.000108970000007</v>
      </c>
      <c r="D18" s="37">
        <f>(SUM(D5:D17))</f>
        <v>38.966334824300645</v>
      </c>
      <c r="O18" s="37"/>
      <c r="P18" s="37"/>
    </row>
    <row r="19" spans="2:20">
      <c r="O19" s="37"/>
      <c r="P19" s="37"/>
    </row>
    <row r="20" spans="2:20">
      <c r="O20" s="37"/>
      <c r="P20" s="37">
        <f>(SUM(P14:P17))</f>
        <v>19.961240650568307</v>
      </c>
    </row>
    <row r="27" spans="2:20">
      <c r="H27" s="38"/>
    </row>
  </sheetData>
  <conditionalFormatting sqref="C5 C7:C8 C13:C16 O6:O9 O14:O17 S5 S7">
    <cfRule type="cellIs" dxfId="113" priority="23" operator="lessThan">
      <formula>$J$3</formula>
    </cfRule>
    <cfRule type="cellIs" dxfId="112" priority="24" operator="greaterThan">
      <formula>$J$3</formula>
    </cfRule>
  </conditionalFormatting>
  <conditionalFormatting sqref="S8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C14" sqref="C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0.53813980226365554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28.780607510121548</v>
      </c>
      <c r="K4" s="4">
        <f>(J4/D10-1)</f>
        <v>-0.27303340464456816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1.2331507399999999</v>
      </c>
      <c r="C6" s="39">
        <v>0</v>
      </c>
      <c r="D6" s="26">
        <f>(B6*C6)</f>
        <v>0</v>
      </c>
      <c r="E6" s="37">
        <f>(B6*J3)</f>
        <v>0.66360749538488051</v>
      </c>
      <c r="M6" t="s">
        <v>11</v>
      </c>
      <c r="N6" s="29">
        <f>($B$10/5)</f>
        <v>10.696331098</v>
      </c>
      <c r="O6" s="37">
        <f>($C$5*Params!K8)</f>
        <v>0.98505771545924514</v>
      </c>
      <c r="P6" s="37">
        <f>(O6*N6)</f>
        <v>10.536503475191559</v>
      </c>
    </row>
    <row r="7" spans="2:16">
      <c r="B7" s="36">
        <v>8.0475000000000002E-4</v>
      </c>
      <c r="C7" s="39">
        <v>0</v>
      </c>
      <c r="D7" s="26">
        <f>(B7*C7)</f>
        <v>0</v>
      </c>
      <c r="E7" s="37">
        <f>(B7*J4)</f>
        <v>2.3161193893770318E-2</v>
      </c>
      <c r="N7" s="29">
        <f>($B$10/5)</f>
        <v>10.696331098</v>
      </c>
      <c r="O7" s="37">
        <f>($C$5*Params!K9)</f>
        <v>1.2123787267190709</v>
      </c>
      <c r="P7" s="37">
        <f>(O7*N7)</f>
        <v>12.96800427715884</v>
      </c>
    </row>
    <row r="8" spans="2:16">
      <c r="N8" s="29">
        <f>($B$10/5)</f>
        <v>10.696331098</v>
      </c>
      <c r="O8" s="37">
        <f>($C$5*Params!K10)</f>
        <v>1.6670207492387226</v>
      </c>
      <c r="P8" s="37">
        <f>(O8*N8)</f>
        <v>17.831005881093407</v>
      </c>
    </row>
    <row r="9" spans="2:16">
      <c r="F9" t="s">
        <v>9</v>
      </c>
      <c r="G9" s="37">
        <f>(D10/B10)</f>
        <v>0.74025382418093888</v>
      </c>
      <c r="N9" s="29">
        <f>($B$10/5)</f>
        <v>10.696331098</v>
      </c>
      <c r="O9" s="37">
        <f>($C$5*Params!K11)</f>
        <v>3.0309468167976772</v>
      </c>
      <c r="P9" s="37">
        <f>(O9*N9)</f>
        <v>32.420010692897101</v>
      </c>
    </row>
    <row r="10" spans="2:16">
      <c r="B10" s="29">
        <f>(SUM(B5:B9))</f>
        <v>53.481655490000001</v>
      </c>
      <c r="D10" s="37">
        <f>(SUM(D5:D9))</f>
        <v>39.590000000000003</v>
      </c>
    </row>
    <row r="11" spans="2:16">
      <c r="P11" s="37">
        <f>(SUM(P6:P9))</f>
        <v>73.755524326340918</v>
      </c>
    </row>
  </sheetData>
  <conditionalFormatting sqref="C5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9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E8" sqref="E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7">
        <v>1.5648189617270609</v>
      </c>
      <c r="N3" s="1"/>
      <c r="O3" s="50"/>
      <c r="P3" s="37"/>
    </row>
    <row r="4" spans="2:22">
      <c r="B4" t="s">
        <v>5</v>
      </c>
      <c r="C4" t="s">
        <v>6</v>
      </c>
      <c r="D4" t="s">
        <v>7</v>
      </c>
      <c r="I4" t="s">
        <v>8</v>
      </c>
      <c r="J4" s="37">
        <f>(B19*J3)</f>
        <v>26.60531865181639</v>
      </c>
      <c r="K4" s="4">
        <f>(J4/D19-1)</f>
        <v>-0.15267187364621859</v>
      </c>
      <c r="O4" s="37"/>
      <c r="P4" s="37"/>
      <c r="R4" t="s">
        <v>5</v>
      </c>
      <c r="S4" t="s">
        <v>6</v>
      </c>
      <c r="T4" t="s">
        <v>7</v>
      </c>
    </row>
    <row r="5" spans="2:22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1.79</v>
      </c>
      <c r="S5" s="37">
        <f>(T5/R5)</f>
        <v>1.6759776536312849</v>
      </c>
      <c r="T5" s="37">
        <f>(D5)</f>
        <v>3</v>
      </c>
    </row>
    <row r="6" spans="2:22">
      <c r="B6" s="1">
        <v>14.90846</v>
      </c>
      <c r="C6" s="37">
        <f>(D6/B6)</f>
        <v>1.9250814638131637</v>
      </c>
      <c r="D6" s="37">
        <v>28.7</v>
      </c>
      <c r="E6" t="s">
        <v>15</v>
      </c>
      <c r="M6" t="s">
        <v>11</v>
      </c>
      <c r="N6" s="1">
        <f>(($B$5+$R$9)/5)</f>
        <v>0.38226118247719681</v>
      </c>
      <c r="O6" s="37">
        <f>($C$5*Params!K8)</f>
        <v>2.1787709497206706</v>
      </c>
      <c r="P6" s="37">
        <f>(O6*N6)</f>
        <v>0.83285955958718871</v>
      </c>
      <c r="R6" s="1">
        <f>B6</f>
        <v>14.90846</v>
      </c>
      <c r="S6" s="37">
        <f>(T6/R6)</f>
        <v>1.9250814638131637</v>
      </c>
      <c r="T6" s="37">
        <f>D6</f>
        <v>28.7</v>
      </c>
      <c r="U6" s="37" t="str">
        <f>(E6)</f>
        <v>DCA2</v>
      </c>
    </row>
    <row r="7" spans="2:22">
      <c r="B7" s="2">
        <v>4.6589230000000002E-2</v>
      </c>
      <c r="C7" s="39">
        <v>0</v>
      </c>
      <c r="D7" s="26">
        <v>0</v>
      </c>
      <c r="E7" s="38">
        <f>B7*J3</f>
        <v>7.2903710516263237E-2</v>
      </c>
      <c r="N7" s="1">
        <f>(($B$5+$R$9)/5)</f>
        <v>0.38226118247719681</v>
      </c>
      <c r="O7" s="37">
        <f>($C$5*Params!K9)</f>
        <v>2.6815642458100561</v>
      </c>
      <c r="P7" s="37">
        <f>(O7*N7)</f>
        <v>1.0250579194919245</v>
      </c>
      <c r="R7" s="2">
        <f>(B7)</f>
        <v>4.6589230000000002E-2</v>
      </c>
      <c r="S7" s="39">
        <v>0</v>
      </c>
      <c r="T7" s="26">
        <f>(D7)</f>
        <v>0</v>
      </c>
    </row>
    <row r="8" spans="2:22">
      <c r="B8" s="1">
        <v>-0.6</v>
      </c>
      <c r="C8" s="37">
        <f t="shared" ref="C8:C17" si="0">(D8/B8)</f>
        <v>1.9313681166666667</v>
      </c>
      <c r="D8" s="37">
        <v>-1.15882087</v>
      </c>
      <c r="N8" s="1">
        <f>(($B$5+$R$9)/5)</f>
        <v>0.38226118247719681</v>
      </c>
      <c r="O8" s="37">
        <f>($C$5*Params!K10)</f>
        <v>3.6871508379888271</v>
      </c>
      <c r="P8" s="37">
        <f>(O8*N8)</f>
        <v>1.4094546393013963</v>
      </c>
      <c r="R8" s="1">
        <f>(B10+B13+B8+B17)</f>
        <v>0.13581527000000004</v>
      </c>
      <c r="S8" s="37">
        <v>0</v>
      </c>
      <c r="T8" s="37">
        <f>(D10+D13+D8+D17)</f>
        <v>-0.13482086999999998</v>
      </c>
      <c r="U8" t="s">
        <v>15</v>
      </c>
      <c r="V8" s="38">
        <f>-T8+R8*$J$3</f>
        <v>0.3473471797880805</v>
      </c>
    </row>
    <row r="9" spans="2:22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(($B$5+$R$9)/5)</f>
        <v>0.38226118247719681</v>
      </c>
      <c r="O9" s="37">
        <f>($C$5*Params!K11)</f>
        <v>6.7039106145251397</v>
      </c>
      <c r="P9" s="37">
        <f>(O9*N9)</f>
        <v>2.5626447987298109</v>
      </c>
      <c r="R9" s="1">
        <f>(B12+B11+B9+B14+B15+B16)</f>
        <v>0.12130591238598404</v>
      </c>
      <c r="S9" s="37">
        <v>0</v>
      </c>
      <c r="T9" s="37">
        <f>(D12+D11+D9+D14)+D15+D16</f>
        <v>-0.16610499999999995</v>
      </c>
      <c r="U9" t="s">
        <v>81</v>
      </c>
      <c r="V9" s="38">
        <f>-T9+R9*$J$3</f>
        <v>0.35592679187118931</v>
      </c>
    </row>
    <row r="10" spans="2:22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/>
      <c r="S10" s="37"/>
      <c r="T10" s="37"/>
    </row>
    <row r="11" spans="2:22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5.8300169171103207</v>
      </c>
    </row>
    <row r="12" spans="2:22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2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2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(($B$6+$R$8)/5)</f>
        <v>3.0088550540000001</v>
      </c>
      <c r="O14" s="37">
        <f>($C$6*Params!K8)</f>
        <v>2.502605902957113</v>
      </c>
      <c r="P14" s="37">
        <f>(O14*N14)</f>
        <v>7.5299784192827435</v>
      </c>
      <c r="S14" s="37"/>
      <c r="T14" s="37"/>
    </row>
    <row r="15" spans="2:22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(($B$6+$R$8)/5)</f>
        <v>3.0088550540000001</v>
      </c>
      <c r="O15" s="37">
        <f>($C$6*Params!K9)</f>
        <v>3.0801303421010622</v>
      </c>
      <c r="P15" s="37">
        <f>(O15*N15)</f>
        <v>9.2676657468095307</v>
      </c>
      <c r="S15" s="37"/>
      <c r="T15" s="37"/>
    </row>
    <row r="16" spans="2:22">
      <c r="B16" s="1">
        <v>0.41928685653543302</v>
      </c>
      <c r="C16" s="37">
        <f t="shared" si="0"/>
        <v>1.6927408740274241</v>
      </c>
      <c r="D16" s="37">
        <v>0.70974400000000004</v>
      </c>
      <c r="N16" s="1">
        <f>(($B$6+$R$8)/5)</f>
        <v>3.0088550540000001</v>
      </c>
      <c r="O16" s="37">
        <f>($C$6*Params!K10)</f>
        <v>4.2351792203889609</v>
      </c>
      <c r="P16" s="37">
        <f>(O16*N16)</f>
        <v>12.743040401863105</v>
      </c>
      <c r="S16" s="37"/>
      <c r="T16" s="37"/>
    </row>
    <row r="17" spans="2:20">
      <c r="B17" s="1">
        <v>0.668076</v>
      </c>
      <c r="C17" s="37">
        <f t="shared" si="0"/>
        <v>1.6465192582879793</v>
      </c>
      <c r="D17" s="37">
        <v>1.1000000000000001</v>
      </c>
      <c r="N17" s="1">
        <f>(($B$6+$R$8)/5)</f>
        <v>3.0088550540000001</v>
      </c>
      <c r="O17" s="37">
        <f>($C$6*Params!K11)</f>
        <v>7.7003258552526548</v>
      </c>
      <c r="P17" s="37">
        <f>(O17*N17)</f>
        <v>23.169164367023825</v>
      </c>
      <c r="S17" s="37"/>
      <c r="T17" s="37"/>
    </row>
    <row r="18" spans="2:20">
      <c r="C18" s="37"/>
      <c r="D18" s="37"/>
      <c r="F18" t="s">
        <v>9</v>
      </c>
      <c r="G18">
        <f>(D19/B19)</f>
        <v>1.8467685812116057</v>
      </c>
      <c r="O18" s="37"/>
      <c r="P18" s="37"/>
      <c r="S18" s="37"/>
      <c r="T18" s="37"/>
    </row>
    <row r="19" spans="2:20">
      <c r="B19" s="1">
        <f>(SUM(B5:B18))</f>
        <v>17.002170412385983</v>
      </c>
      <c r="C19" s="37"/>
      <c r="D19" s="37">
        <f>(SUM(D5:D18))</f>
        <v>31.399074130000002</v>
      </c>
      <c r="O19" s="37"/>
      <c r="P19" s="37">
        <f>(SUM(P14:P17))</f>
        <v>52.709848934979206</v>
      </c>
      <c r="S19" s="37"/>
      <c r="T19" s="37"/>
    </row>
    <row r="20" spans="2:20">
      <c r="S20" s="37"/>
      <c r="T20" s="37"/>
    </row>
    <row r="21" spans="2:20">
      <c r="S21" s="37"/>
      <c r="T21" s="37"/>
    </row>
    <row r="22" spans="2:20">
      <c r="R22" s="1">
        <f>(SUM(R5:R21))</f>
        <v>17.002170412385983</v>
      </c>
      <c r="S22" s="37"/>
      <c r="T22" s="37">
        <f>(SUM(T5:T21))</f>
        <v>31.399074130000002</v>
      </c>
    </row>
  </sheetData>
  <conditionalFormatting sqref="C5:C6 C12:C14 C16:C17 O6:O9 O14:O17 S5:S6">
    <cfRule type="cellIs" dxfId="103" priority="17" operator="lessThan">
      <formula>$J$3</formula>
    </cfRule>
    <cfRule type="cellIs" dxfId="10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11" sqref="O1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1">
        <v>8.4687645838554983E-6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3.7234986483973325</v>
      </c>
      <c r="K4" s="4">
        <f>(J4/D13-1)</f>
        <v>-0.2597418194041089</v>
      </c>
    </row>
    <row r="5" spans="2:16">
      <c r="B5" s="22">
        <v>439531.68</v>
      </c>
      <c r="C5" s="51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1.2083233308245026E-3</v>
      </c>
      <c r="F6" s="37"/>
      <c r="G6" s="37"/>
      <c r="M6" t="s">
        <v>11</v>
      </c>
      <c r="N6" s="22">
        <f>($B$5/5)</f>
        <v>87906.335999999996</v>
      </c>
      <c r="O6" s="2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2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2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2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20.612895613096409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136.30107643929082</v>
      </c>
      <c r="K4" s="4">
        <f>(J4/D31-1)</f>
        <v>-0.22047697634956476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1.2234E-2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4.3287080787502458E-2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(0.002039*6)</f>
        <v>1.2234E-2</v>
      </c>
      <c r="C13" s="37">
        <v>0</v>
      </c>
      <c r="D13" s="37">
        <f>(C13*B13)</f>
        <v>0</v>
      </c>
      <c r="E13" t="s">
        <v>82</v>
      </c>
      <c r="F13" s="38"/>
      <c r="M13" t="s">
        <v>10</v>
      </c>
      <c r="N13" t="s">
        <v>29</v>
      </c>
      <c r="O13" t="s">
        <v>1</v>
      </c>
      <c r="P13" t="s">
        <v>2</v>
      </c>
      <c r="R13" s="24">
        <f>(B17+B21+B24)</f>
        <v>4.51675</v>
      </c>
      <c r="S13" s="37">
        <f>(T13/R13)</f>
        <v>19.840577184922786</v>
      </c>
      <c r="T13" s="37">
        <f>(D17+11.97*B21+B24*12.17)</f>
        <v>89.614926999999994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0.12699631783993096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2.6598500000000001E-2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1.0879032820888932E-2</v>
      </c>
      <c r="N15" s="24">
        <f>(-B24)</f>
        <v>0.31</v>
      </c>
      <c r="O15" s="37">
        <f>C24</f>
        <v>18.399999999999999</v>
      </c>
      <c r="P15" s="37">
        <f>-D24</f>
        <v>5.7039999999999997</v>
      </c>
      <c r="Q15" t="s">
        <v>12</v>
      </c>
      <c r="R15" s="24">
        <f>B19+B22</f>
        <v>1.39927</v>
      </c>
      <c r="S15" s="37">
        <f>(T15/R15)</f>
        <v>19.86739942970263</v>
      </c>
      <c r="T15" s="37">
        <f>(D19+12.6*B22)</f>
        <v>27.799855999999998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2.4736899999999999</v>
      </c>
      <c r="O16" s="37">
        <f>($S$13*Params!K10)</f>
        <v>43.649269806830134</v>
      </c>
      <c r="P16" s="37">
        <f>(O16*N16)</f>
        <v>107.97476222845764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5.1076499999999996</v>
      </c>
      <c r="C17" s="37">
        <f>(D17/B17)</f>
        <v>18.942174972834867</v>
      </c>
      <c r="D17" s="37">
        <v>96.75</v>
      </c>
      <c r="E17" t="s">
        <v>10</v>
      </c>
      <c r="N17" s="24">
        <f>(($R$13+N14+N15)/5)</f>
        <v>1.0215299999999998</v>
      </c>
      <c r="O17" s="37">
        <f>($S$13*Params!K11)</f>
        <v>79.362308739691144</v>
      </c>
      <c r="P17" s="37">
        <f>(O17*N17)</f>
        <v>81.07097924685668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0">
        <v>2.6598500000000001E-2</v>
      </c>
      <c r="C18" s="39">
        <v>0</v>
      </c>
      <c r="D18" s="26">
        <v>0</v>
      </c>
      <c r="E18" s="38">
        <f>B18*J3</f>
        <v>0.54827210396494486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1.47071</v>
      </c>
      <c r="C19" s="37">
        <f t="shared" ref="C19:C29" si="1">(D19/B19)</f>
        <v>19.514384208987497</v>
      </c>
      <c r="D19" s="37">
        <v>28.7</v>
      </c>
      <c r="E19" t="s">
        <v>15</v>
      </c>
      <c r="O19" s="37"/>
      <c r="P19" s="37">
        <f>(SUM(P14:P17))</f>
        <v>198.9519414753143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0.51684400000000008</v>
      </c>
      <c r="O24" s="37">
        <f>($S$15*Params!K9)</f>
        <v>31.787839087524208</v>
      </c>
      <c r="P24" s="37">
        <f>(O24*N24)</f>
        <v>16.429353905352365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0.27985399999999999</v>
      </c>
      <c r="O25" s="37">
        <f>($S$15*Params!K10)</f>
        <v>43.708278745345787</v>
      </c>
      <c r="P25" s="37">
        <f>(O25*N25)</f>
        <v>12.231936639999999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0.27985399999999999</v>
      </c>
      <c r="O26" s="37">
        <f>($S$15*Params!K11)</f>
        <v>79.469597718810519</v>
      </c>
      <c r="P26" s="37">
        <f>(O26*N26)</f>
        <v>22.239884799999999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52.064278865352364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6.6124177310000007</v>
      </c>
      <c r="C31" s="37"/>
      <c r="D31" s="37">
        <f>(SUM(D5:D30))</f>
        <v>174.85189315</v>
      </c>
      <c r="E31" s="37"/>
      <c r="F31" t="s">
        <v>9</v>
      </c>
      <c r="G31" s="37">
        <f>(D31/B31)</f>
        <v>26.442959332449345</v>
      </c>
      <c r="S31" s="37"/>
      <c r="T31" s="37"/>
    </row>
    <row r="32" spans="2:21">
      <c r="S32" s="37"/>
      <c r="T32" s="37"/>
    </row>
    <row r="33" spans="18:20">
      <c r="R33" s="24">
        <f>(SUM(R5:R32))</f>
        <v>6.6124177310000016</v>
      </c>
      <c r="S33" s="37"/>
      <c r="T33" s="37">
        <f>(SUM(T5:T32))</f>
        <v>174.84953358999999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7.5203048534022141E-2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0.69461944028727907</v>
      </c>
      <c r="K4" s="4">
        <f>(J4/D13-1)</f>
        <v>0.38923888057455813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0.13532783000000001</v>
      </c>
      <c r="C6" s="39">
        <v>0</v>
      </c>
      <c r="D6" s="26">
        <f>(B6*C6)</f>
        <v>0</v>
      </c>
      <c r="E6" s="37">
        <f>(B6*J3)</f>
        <v>1.0177065367493899E-2</v>
      </c>
      <c r="G6" s="37"/>
      <c r="M6" t="s">
        <v>11</v>
      </c>
      <c r="N6" s="19">
        <f>($B$13/5)</f>
        <v>1.84731724</v>
      </c>
      <c r="O6" s="35">
        <f>($C$5*Params!K8)</f>
        <v>7.1418695478700056E-2</v>
      </c>
      <c r="P6" s="37">
        <f>(O6*N6)</f>
        <v>0.13193298741611267</v>
      </c>
    </row>
    <row r="7" spans="2:16">
      <c r="C7" s="37"/>
      <c r="D7" s="37"/>
      <c r="E7" s="37"/>
      <c r="G7" s="37"/>
      <c r="N7" s="19">
        <f>($B$13/5)</f>
        <v>1.84731724</v>
      </c>
      <c r="O7" s="35">
        <f>($C$5*Params!K9)</f>
        <v>8.7899932896861599E-2</v>
      </c>
      <c r="P7" s="37">
        <f>(O7*N7)</f>
        <v>0.16237906143521558</v>
      </c>
    </row>
    <row r="8" spans="2:16">
      <c r="C8" s="37"/>
      <c r="D8" s="37"/>
      <c r="E8" s="37"/>
      <c r="G8" s="37"/>
      <c r="N8" s="19">
        <f>($B$13/5)</f>
        <v>1.84731724</v>
      </c>
      <c r="O8" s="35">
        <f>($C$5*Params!K10)</f>
        <v>0.12086240773318471</v>
      </c>
      <c r="P8" s="37">
        <f>(O8*N8)</f>
        <v>0.22327120947342144</v>
      </c>
    </row>
    <row r="9" spans="2:16">
      <c r="C9" s="37"/>
      <c r="D9" s="37"/>
      <c r="E9" s="37"/>
      <c r="G9" s="37"/>
      <c r="N9" s="19">
        <f>($B$13/5)</f>
        <v>1.84731724</v>
      </c>
      <c r="O9" s="35">
        <f>($C$5*Params!K11)</f>
        <v>0.219749832242154</v>
      </c>
      <c r="P9" s="37">
        <f>(O9*N9)</f>
        <v>0.40594765358803891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0.92353091191278858</v>
      </c>
    </row>
    <row r="12" spans="2:16">
      <c r="C12" s="37"/>
      <c r="D12" s="37"/>
      <c r="E12" s="37"/>
      <c r="F12" t="s">
        <v>9</v>
      </c>
      <c r="G12" s="37">
        <f>(D13/B13)</f>
        <v>5.4132553864976653E-2</v>
      </c>
    </row>
    <row r="13" spans="2:16">
      <c r="B13">
        <f>(SUM(B5:B12))</f>
        <v>9.2365861999999996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6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(C226)</f>
        <v>66.209999999999994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5.0464120540975328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7.2732097013872821</v>
      </c>
      <c r="K4" s="4">
        <f>(J4/D10-1)</f>
        <v>-0.11839882407426883</v>
      </c>
      <c r="O4" s="37"/>
      <c r="P4" s="37"/>
    </row>
    <row r="5" spans="2:16">
      <c r="B5" s="1">
        <v>1.44085</v>
      </c>
      <c r="C5" s="37">
        <f>(D5/B5)</f>
        <v>5.7257868619217822</v>
      </c>
      <c r="D5" s="37">
        <v>8.25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2.0868932408514935E-3</v>
      </c>
      <c r="G6" s="37"/>
      <c r="H6" s="37"/>
      <c r="J6" s="37"/>
      <c r="M6" t="s">
        <v>11</v>
      </c>
      <c r="N6" s="1">
        <f>($B$5/5)</f>
        <v>0.28816999999999998</v>
      </c>
      <c r="O6" s="35">
        <f>($C$5*Params!K8)</f>
        <v>7.4435229204983173</v>
      </c>
      <c r="P6" s="37">
        <f>(O6*N6)</f>
        <v>2.145</v>
      </c>
    </row>
    <row r="7" spans="2:16">
      <c r="C7" s="37"/>
      <c r="D7" s="37"/>
      <c r="E7" s="37"/>
      <c r="G7" s="37"/>
      <c r="H7" s="37"/>
      <c r="J7" s="37"/>
      <c r="N7" s="1">
        <f>($B$5/5)</f>
        <v>0.28816999999999998</v>
      </c>
      <c r="O7" s="35">
        <f>($C$5*Params!K9)</f>
        <v>9.1612589790748515</v>
      </c>
      <c r="P7" s="37">
        <f>(O7*N7)</f>
        <v>2.6399999999999997</v>
      </c>
    </row>
    <row r="8" spans="2:16">
      <c r="C8" s="37"/>
      <c r="D8" s="37"/>
      <c r="E8" s="37"/>
      <c r="G8" s="37"/>
      <c r="H8" s="37"/>
      <c r="J8" s="37"/>
      <c r="N8" s="1">
        <f>($B$5/5)</f>
        <v>0.28816999999999998</v>
      </c>
      <c r="O8" s="35">
        <f>($C$5*Params!K10)</f>
        <v>12.596731096227922</v>
      </c>
      <c r="P8" s="37">
        <f>(O8*N8)</f>
        <v>3.63</v>
      </c>
    </row>
    <row r="9" spans="2:16">
      <c r="C9" s="37"/>
      <c r="D9" s="37"/>
      <c r="E9" s="37"/>
      <c r="F9" t="s">
        <v>9</v>
      </c>
      <c r="G9" s="37">
        <f>(D10/B10)</f>
        <v>5.724143968840008</v>
      </c>
      <c r="H9" s="37"/>
      <c r="J9" s="37"/>
      <c r="N9" s="1">
        <f>($B$5/5)</f>
        <v>0.28816999999999998</v>
      </c>
      <c r="O9" s="35">
        <f>($C$5*Params!K11)</f>
        <v>22.903147447687129</v>
      </c>
      <c r="P9" s="37">
        <f>(O9*N9)</f>
        <v>6.6</v>
      </c>
    </row>
    <row r="10" spans="2:16">
      <c r="B10" s="1">
        <f>(SUM(B5:B9))</f>
        <v>1.44126354</v>
      </c>
      <c r="C10" s="37"/>
      <c r="D10" s="37">
        <f>(SUM(D5:D9))</f>
        <v>8.25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15.014999999999999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0.51082330077739058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22.102579617945082</v>
      </c>
      <c r="K4" s="4">
        <f>(J4/D13-1)</f>
        <v>0.57343941284553113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54.028542340000001</v>
      </c>
      <c r="S5" s="37">
        <f>(T5/R5)</f>
        <v>0.35351684818376689</v>
      </c>
      <c r="T5" s="37">
        <f>(SUM(D5:D7))</f>
        <v>19.100000000000001</v>
      </c>
    </row>
    <row r="6" spans="2:20">
      <c r="B6" s="2">
        <v>0.45353086999999997</v>
      </c>
      <c r="C6" s="39">
        <v>0</v>
      </c>
      <c r="D6" s="39">
        <f>(B6*C6)</f>
        <v>0</v>
      </c>
      <c r="E6" s="37">
        <f>(B6*J3)</f>
        <v>0.23167413601784162</v>
      </c>
      <c r="M6" t="s">
        <v>11</v>
      </c>
      <c r="N6">
        <f>(-B8)</f>
        <v>10.76</v>
      </c>
      <c r="O6" s="37">
        <f>P6/N6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 s="19">
        <v>1.46219147</v>
      </c>
      <c r="C7" s="37">
        <f>(D7/B7)</f>
        <v>0.34195248040942272</v>
      </c>
      <c r="D7" s="37">
        <v>0.5</v>
      </c>
      <c r="N7" s="19">
        <f>(2*SUM(B$5:B$7)/5-N6)</f>
        <v>10.851416936000001</v>
      </c>
      <c r="O7" s="37">
        <f>($C$5*Params!K9)</f>
        <v>0.57106869288593487</v>
      </c>
      <c r="P7" s="37">
        <f>(O7*N7)</f>
        <v>6.1969044856018174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10.805708468000001</v>
      </c>
      <c r="O8" s="37">
        <f>($C$5*Params!K10)</f>
        <v>0.78521945271816052</v>
      </c>
      <c r="P8" s="37">
        <f>(O8*N8)</f>
        <v>8.4848524894749531</v>
      </c>
    </row>
    <row r="9" spans="2:20">
      <c r="N9" s="19">
        <f>(SUM(B$5:B$7)/5)</f>
        <v>10.805708468000001</v>
      </c>
      <c r="O9" s="37">
        <f>($C$5*Params!K11)</f>
        <v>1.4276717322148371</v>
      </c>
      <c r="P9" s="37">
        <f>(O9*N9)</f>
        <v>15.427004526318095</v>
      </c>
    </row>
    <row r="11" spans="2:20">
      <c r="P11" s="37">
        <f>(SUM(P6:P9))</f>
        <v>35.161458861394863</v>
      </c>
    </row>
    <row r="12" spans="2:20">
      <c r="F12" t="s">
        <v>9</v>
      </c>
      <c r="G12" s="37">
        <f>(D13/B13)</f>
        <v>0.32465393748690818</v>
      </c>
    </row>
    <row r="13" spans="2:20">
      <c r="B13">
        <f>(SUM(B5:B12))</f>
        <v>43.268542340000003</v>
      </c>
      <c r="D13" s="37">
        <f>(SUM(D5:D12))</f>
        <v>14.047302640000002</v>
      </c>
    </row>
    <row r="17" spans="18:20">
      <c r="R17">
        <f>(SUM(R5:R16))</f>
        <v>43.268542340000003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0.13244973064677981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3.4235378511063037</v>
      </c>
      <c r="K4" s="4">
        <f>(J4/D10-1)</f>
        <v>22.915570628960388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1.049888804088948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3.0702097776845885</v>
      </c>
      <c r="K4" s="4">
        <f>(J4/D10-1)</f>
        <v>2.3403259228196083E-2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3.5397953835811838E-3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2.1217533529185615</v>
      </c>
      <c r="K4" s="4">
        <f>(J4/D10-1)</f>
        <v>-0.29274888236047947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0.16377695850222829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0.99638626013585652</v>
      </c>
      <c r="K4" s="4">
        <f>(J4/D9-1)</f>
        <v>-0.9654841858117118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281" priority="9" operator="lessThan">
      <formula>$J$3</formula>
    </cfRule>
    <cfRule type="cellIs" dxfId="280" priority="10" operator="greaterThan">
      <formula>$J$3</formula>
    </cfRule>
  </conditionalFormatting>
  <conditionalFormatting sqref="O11:O14">
    <cfRule type="cellIs" dxfId="279" priority="7" operator="lessThan">
      <formula>$J$3</formula>
    </cfRule>
    <cfRule type="cellIs" dxfId="278" priority="8" operator="greaterThan">
      <formula>$J$3</formula>
    </cfRule>
  </conditionalFormatting>
  <conditionalFormatting sqref="O20:O23">
    <cfRule type="cellIs" dxfId="277" priority="5" operator="lessThan">
      <formula>$J$3</formula>
    </cfRule>
    <cfRule type="cellIs" dxfId="276" priority="6" operator="greaterThan">
      <formula>$J$3</formula>
    </cfRule>
  </conditionalFormatting>
  <conditionalFormatting sqref="O29:O32">
    <cfRule type="cellIs" dxfId="275" priority="3" operator="lessThan">
      <formula>$J$3</formula>
    </cfRule>
    <cfRule type="cellIs" dxfId="274" priority="4" operator="greaterThan">
      <formula>$J$3</formula>
    </cfRule>
  </conditionalFormatting>
  <conditionalFormatting sqref="N6">
    <cfRule type="cellIs" dxfId="273" priority="1" operator="lessThan">
      <formula>$J$3</formula>
    </cfRule>
    <cfRule type="cellIs" dxfId="27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C29" sqref="C29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530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1.869141111279494E-3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0.88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5.4376498315826911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-263.51635016841726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-187.24635016841725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7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40">
        <v>4</v>
      </c>
      <c r="D30" s="41">
        <v>0.01</v>
      </c>
      <c r="E30" s="41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530</v>
      </c>
      <c r="E34">
        <f t="shared" ref="E34:E40" si="1">C34*D34</f>
        <v>3314.62</v>
      </c>
      <c r="F34" s="29">
        <f t="shared" ref="F34:F40" si="2">E34*$N$5</f>
        <v>2916.8656000000001</v>
      </c>
      <c r="G34" s="37">
        <v>3.5</v>
      </c>
      <c r="H34" s="30">
        <f>G50</f>
        <v>1.5615590400000001</v>
      </c>
      <c r="I34" s="38">
        <f t="shared" ref="I34:I41" si="3">((F34-H34*D34)*$J$3-G34)</f>
        <v>0.4050830833792336</v>
      </c>
      <c r="J34">
        <v>1</v>
      </c>
      <c r="K34" s="42">
        <f t="shared" ref="K34:K40" si="4">I34*J34</f>
        <v>0.4050830833792336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530</v>
      </c>
      <c r="E35">
        <f t="shared" si="1"/>
        <v>511.97999999999996</v>
      </c>
      <c r="F35" s="29">
        <f t="shared" si="2"/>
        <v>450.54239999999999</v>
      </c>
      <c r="G35" s="37">
        <v>3.5</v>
      </c>
      <c r="H35" s="30">
        <f>G51</f>
        <v>0.21337130135885166</v>
      </c>
      <c r="I35" s="38">
        <f t="shared" si="3"/>
        <v>-2.8692478455940984</v>
      </c>
      <c r="J35">
        <v>1</v>
      </c>
      <c r="K35" s="42">
        <f t="shared" si="4"/>
        <v>-2.8692478455940984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530</v>
      </c>
      <c r="E36">
        <f t="shared" si="1"/>
        <v>451.03</v>
      </c>
      <c r="F36" s="29">
        <f t="shared" si="2"/>
        <v>396.90639999999996</v>
      </c>
      <c r="G36" s="37">
        <v>3.5</v>
      </c>
      <c r="H36" s="30">
        <f>G52</f>
        <v>0.18479602162162162</v>
      </c>
      <c r="I36" s="38">
        <f t="shared" si="3"/>
        <v>-2.9411931462734064</v>
      </c>
      <c r="J36">
        <v>1</v>
      </c>
      <c r="K36" s="42">
        <f t="shared" si="4"/>
        <v>-2.9411931462734064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496</v>
      </c>
      <c r="E37">
        <f t="shared" si="1"/>
        <v>422.096</v>
      </c>
      <c r="F37" s="29">
        <f t="shared" si="2"/>
        <v>371.44448</v>
      </c>
      <c r="G37" s="37">
        <v>0</v>
      </c>
      <c r="H37" s="30">
        <f>G52</f>
        <v>0.18479602162162162</v>
      </c>
      <c r="I37" s="38">
        <f t="shared" si="3"/>
        <v>0.52295886688375559</v>
      </c>
      <c r="J37">
        <v>3</v>
      </c>
      <c r="K37" s="42">
        <f t="shared" si="4"/>
        <v>1.5688766006512669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438</v>
      </c>
      <c r="E38">
        <f t="shared" si="1"/>
        <v>372.738</v>
      </c>
      <c r="F38" s="29">
        <f t="shared" si="2"/>
        <v>328.00943999999998</v>
      </c>
      <c r="G38" s="37">
        <v>0</v>
      </c>
      <c r="H38" s="30">
        <f>H37</f>
        <v>0.18479602162162162</v>
      </c>
      <c r="I38" s="38">
        <f t="shared" si="3"/>
        <v>0.46180641874009065</v>
      </c>
      <c r="J38">
        <v>1</v>
      </c>
      <c r="K38" s="42">
        <f t="shared" si="4"/>
        <v>0.46180641874009065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390</v>
      </c>
      <c r="E39">
        <f t="shared" si="1"/>
        <v>331.89</v>
      </c>
      <c r="F39" s="29">
        <f t="shared" si="2"/>
        <v>292.06319999999999</v>
      </c>
      <c r="G39" s="37">
        <v>0</v>
      </c>
      <c r="H39" s="30">
        <f>H38</f>
        <v>0.18479602162162162</v>
      </c>
      <c r="I39" s="38">
        <f t="shared" si="3"/>
        <v>0.41119749613843687</v>
      </c>
      <c r="J39">
        <v>1</v>
      </c>
      <c r="K39" s="42">
        <f t="shared" si="4"/>
        <v>0.41119749613843687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59.505600000000001</v>
      </c>
      <c r="G40" s="43">
        <v>0</v>
      </c>
      <c r="H40" s="32">
        <f>H35</f>
        <v>0.21337130135885166</v>
      </c>
      <c r="I40" s="43">
        <f t="shared" si="3"/>
        <v>8.330688831776055E-2</v>
      </c>
      <c r="J40" s="16">
        <v>1</v>
      </c>
      <c r="K40" s="44">
        <f t="shared" si="4"/>
        <v>8.330688831776055E-2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256</v>
      </c>
      <c r="E41">
        <f>(C41*D41)</f>
        <v>217.85599999999999</v>
      </c>
      <c r="F41" s="29">
        <f>(E41*$N$5)</f>
        <v>191.71328</v>
      </c>
      <c r="G41" s="37">
        <v>0</v>
      </c>
      <c r="H41" s="29">
        <f>(H37)</f>
        <v>0.18479602162162162</v>
      </c>
      <c r="I41" s="38">
        <f t="shared" si="3"/>
        <v>0.26991425387548679</v>
      </c>
      <c r="J41">
        <v>1</v>
      </c>
      <c r="K41" s="42">
        <f>(I41*J41)</f>
        <v>0.26991425387548679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2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0.63129783158269248</v>
      </c>
      <c r="P46">
        <f>(O46/J3)</f>
        <v>337.74755034441807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5">
        <v>1.1399999999999999</v>
      </c>
      <c r="E59" s="46">
        <f t="shared" ref="E59:E66" si="6">D59/C59</f>
        <v>1.0039857823396298E-2</v>
      </c>
    </row>
    <row r="60" spans="2:7">
      <c r="B60" s="8"/>
      <c r="C60" s="19">
        <v>130.53974622000001</v>
      </c>
      <c r="D60" s="45">
        <v>1.1793119999999999</v>
      </c>
      <c r="E60" s="46">
        <f t="shared" si="6"/>
        <v>9.0341220520874389E-3</v>
      </c>
    </row>
    <row r="61" spans="2:7">
      <c r="B61" s="8"/>
      <c r="C61" s="19">
        <v>167.40487411999999</v>
      </c>
      <c r="D61" s="45">
        <v>1.05481</v>
      </c>
      <c r="E61" s="46">
        <f t="shared" si="6"/>
        <v>6.3009515436443378E-3</v>
      </c>
    </row>
    <row r="62" spans="2:7">
      <c r="B62" s="8"/>
      <c r="C62" s="19">
        <v>167.96827999999999</v>
      </c>
      <c r="D62" s="45">
        <f>1.0512-0.00017</f>
        <v>1.0510299999999999</v>
      </c>
      <c r="E62" s="46">
        <f t="shared" si="6"/>
        <v>6.2573123925541178E-3</v>
      </c>
    </row>
    <row r="63" spans="2:7">
      <c r="B63" s="8"/>
      <c r="C63" s="19">
        <v>123.66</v>
      </c>
      <c r="D63" s="45">
        <v>1.0489999999999999</v>
      </c>
      <c r="E63" s="46">
        <f t="shared" si="6"/>
        <v>8.4829370855571719E-3</v>
      </c>
    </row>
    <row r="64" spans="2:7">
      <c r="B64" s="8"/>
      <c r="C64" s="19">
        <v>149.5</v>
      </c>
      <c r="D64" s="45">
        <v>1.17</v>
      </c>
      <c r="E64" s="46">
        <f t="shared" si="6"/>
        <v>7.826086956521738E-3</v>
      </c>
    </row>
    <row r="65" spans="2:5">
      <c r="B65" s="8"/>
      <c r="C65" s="19">
        <v>170.62</v>
      </c>
      <c r="D65" s="45">
        <v>1.1579999999999999</v>
      </c>
      <c r="E65" s="46">
        <f t="shared" si="6"/>
        <v>6.7870120736138783E-3</v>
      </c>
    </row>
    <row r="66" spans="2:5">
      <c r="B66" s="8"/>
      <c r="C66" s="19">
        <v>192.66</v>
      </c>
      <c r="D66" s="45">
        <v>1.0900000000000001</v>
      </c>
      <c r="E66" s="46">
        <f t="shared" si="6"/>
        <v>5.6576352122910834E-3</v>
      </c>
    </row>
    <row r="67" spans="2:5">
      <c r="B67" s="8"/>
      <c r="C67" s="19">
        <v>257.33999999999997</v>
      </c>
      <c r="D67" s="45">
        <v>1.1299999999999999</v>
      </c>
      <c r="E67" s="46">
        <f t="shared" ref="E67:E72" si="7">(D67/C67)</f>
        <v>4.3910779513484108E-3</v>
      </c>
    </row>
    <row r="68" spans="2:5">
      <c r="B68" s="8"/>
      <c r="C68" s="19">
        <v>312.13</v>
      </c>
      <c r="D68" s="45">
        <v>0.82</v>
      </c>
      <c r="E68" s="46">
        <f t="shared" si="7"/>
        <v>2.6271104988306155E-3</v>
      </c>
    </row>
    <row r="69" spans="2:5">
      <c r="B69" s="8"/>
      <c r="C69" s="19">
        <v>352.46100000000001</v>
      </c>
      <c r="D69" s="45">
        <v>1.2074</v>
      </c>
      <c r="E69" s="46">
        <f t="shared" si="7"/>
        <v>3.4256272325165053E-3</v>
      </c>
    </row>
    <row r="70" spans="2:5">
      <c r="B70" s="8"/>
      <c r="C70" s="19">
        <v>263.04000000000002</v>
      </c>
      <c r="D70" s="45">
        <v>1.0588</v>
      </c>
      <c r="E70" s="46">
        <f t="shared" si="7"/>
        <v>4.0252433090024325E-3</v>
      </c>
    </row>
    <row r="71" spans="2:5">
      <c r="B71" s="8"/>
      <c r="C71" s="19">
        <v>359.00495999999998</v>
      </c>
      <c r="D71" s="45">
        <v>1.1194999999999999</v>
      </c>
      <c r="E71" s="46">
        <f t="shared" si="7"/>
        <v>3.1183413176241355E-3</v>
      </c>
    </row>
    <row r="72" spans="2:5">
      <c r="B72" s="8"/>
      <c r="C72" s="19">
        <v>327.91</v>
      </c>
      <c r="D72" s="45">
        <v>1.0785</v>
      </c>
      <c r="E72" s="46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71" priority="17" operator="lessThan">
      <formula>$C$5</formula>
    </cfRule>
    <cfRule type="cellIs" dxfId="270" priority="18" operator="greaterThan">
      <formula>$C$5</formula>
    </cfRule>
  </conditionalFormatting>
  <conditionalFormatting sqref="L35">
    <cfRule type="cellIs" dxfId="269" priority="15" operator="lessThan">
      <formula>$C$6</formula>
    </cfRule>
    <cfRule type="cellIs" dxfId="268" priority="16" operator="greaterThan">
      <formula>$C$6</formula>
    </cfRule>
  </conditionalFormatting>
  <conditionalFormatting sqref="L39">
    <cfRule type="cellIs" dxfId="267" priority="13" operator="lessThan">
      <formula>$C$20</formula>
    </cfRule>
    <cfRule type="cellIs" dxfId="266" priority="14" operator="greaterThan">
      <formula>$C$20</formula>
    </cfRule>
  </conditionalFormatting>
  <conditionalFormatting sqref="L38">
    <cfRule type="cellIs" dxfId="265" priority="11" operator="lessThan">
      <formula>$C$19</formula>
    </cfRule>
    <cfRule type="cellIs" dxfId="264" priority="12" operator="greaterThan">
      <formula>$C$19</formula>
    </cfRule>
  </conditionalFormatting>
  <conditionalFormatting sqref="L37">
    <cfRule type="cellIs" dxfId="263" priority="9" operator="lessThan">
      <formula>$C$17</formula>
    </cfRule>
    <cfRule type="cellIs" dxfId="262" priority="10" operator="greaterThan">
      <formula>$C$17</formula>
    </cfRule>
  </conditionalFormatting>
  <conditionalFormatting sqref="L36">
    <cfRule type="cellIs" dxfId="261" priority="7" operator="lessThan">
      <formula>$C$7</formula>
    </cfRule>
    <cfRule type="cellIs" dxfId="260" priority="8" operator="greaterThan">
      <formula>$C$7</formula>
    </cfRule>
  </conditionalFormatting>
  <conditionalFormatting sqref="L41">
    <cfRule type="cellIs" dxfId="259" priority="5" operator="lessThan">
      <formula>$C$20</formula>
    </cfRule>
    <cfRule type="cellIs" dxfId="258" priority="6" operator="greaterThan">
      <formula>$C$20</formula>
    </cfRule>
  </conditionalFormatting>
  <conditionalFormatting sqref="L42">
    <cfRule type="cellIs" dxfId="257" priority="3" operator="lessThan">
      <formula>$C$20</formula>
    </cfRule>
    <cfRule type="cellIs" dxfId="256" priority="4" operator="greaterThan">
      <formula>$C$20</formula>
    </cfRule>
  </conditionalFormatting>
  <conditionalFormatting sqref="L43:L45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0.37353029542330352</v>
      </c>
      <c r="M3" t="s">
        <v>4</v>
      </c>
      <c r="N3" s="1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30.058206990890483</v>
      </c>
      <c r="K4" s="4">
        <f>(J4/D13-1)</f>
        <v>6.6270591559047132E-2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0.37742688000000002</v>
      </c>
      <c r="C6" s="39">
        <v>0</v>
      </c>
      <c r="D6" s="39">
        <f>(B6*C6)</f>
        <v>0</v>
      </c>
      <c r="E6" s="37">
        <f>(B6*J3)</f>
        <v>0.14098037398709573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0.37742688000000002</v>
      </c>
      <c r="S6" s="39">
        <v>0</v>
      </c>
      <c r="T6" s="39">
        <f>(D6)</f>
        <v>0</v>
      </c>
      <c r="U6" s="37">
        <f>(R6*J3)</f>
        <v>0.14098037398709573</v>
      </c>
    </row>
    <row r="7" spans="2:21">
      <c r="B7" s="1">
        <v>81.217169999999996</v>
      </c>
      <c r="C7" s="37">
        <f>(D7/B7)</f>
        <v>0.35337355389260672</v>
      </c>
      <c r="D7" s="37">
        <v>28.7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78.499810623999991</v>
      </c>
      <c r="S7" s="37">
        <f>(T7/R7)</f>
        <v>0.3560930851975308</v>
      </c>
      <c r="T7" s="37">
        <f>(D7+0.274811*-N14)</f>
        <v>27.953239752522062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0.3503147309700686</v>
      </c>
    </row>
    <row r="13" spans="2:21">
      <c r="B13">
        <f>(SUM(B5:B12))</f>
        <v>80.47059999999999</v>
      </c>
      <c r="D13" s="37">
        <f>(SUM(D5:D12))</f>
        <v>28.190036589999998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80.47059999999999</v>
      </c>
      <c r="T13" s="37">
        <f>(SUM(T5:T12))</f>
        <v>28.190036589999998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30.557824374399996</v>
      </c>
      <c r="O15" s="37">
        <f>($S$7*Params!K9)</f>
        <v>0.56974893631604928</v>
      </c>
      <c r="P15" s="37">
        <f>(O15*N15)</f>
        <v>17.410287933447041</v>
      </c>
    </row>
    <row r="16" spans="2:21">
      <c r="N16" s="1">
        <f>(($B$7+R6+R5)/5)</f>
        <v>16.637591875199998</v>
      </c>
      <c r="O16" s="37">
        <f>($C$7*Params!K10)</f>
        <v>0.77742181856373482</v>
      </c>
      <c r="P16" s="37">
        <f>(O16*N16)</f>
        <v>12.934426932139202</v>
      </c>
    </row>
    <row r="17" spans="14:16">
      <c r="N17" s="1">
        <f>(($B$7+R6+R5)/5)</f>
        <v>16.637591875199998</v>
      </c>
      <c r="O17" s="37">
        <f>($C$7*Params!K11)</f>
        <v>1.4134942155704269</v>
      </c>
      <c r="P17" s="37">
        <f>(O17*N17)</f>
        <v>23.517139876616728</v>
      </c>
    </row>
    <row r="18" spans="14:16">
      <c r="N18" s="1"/>
      <c r="P18" s="37"/>
    </row>
    <row r="19" spans="14:16">
      <c r="P19" s="37">
        <f>(SUM(P14:P17))</f>
        <v>54.742694855686437</v>
      </c>
    </row>
  </sheetData>
  <conditionalFormatting sqref="C5 C7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O15:O17">
    <cfRule type="cellIs" dxfId="249" priority="9" operator="lessThan">
      <formula>$J$3</formula>
    </cfRule>
    <cfRule type="cellIs" dxfId="248" priority="10" operator="greaterThan">
      <formula>$J$3</formula>
    </cfRule>
  </conditionalFormatting>
  <conditionalFormatting sqref="S5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S7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3">
    <cfRule type="cellIs" dxfId="243" priority="3" operator="greaterThan">
      <formula>$J$3</formula>
    </cfRule>
    <cfRule type="cellIs" dxfId="242" priority="4" operator="lessThan">
      <formula>$J$3</formula>
    </cfRule>
  </conditionalFormatting>
  <conditionalFormatting sqref="G12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0.14658710641283321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9.2377067423818602</v>
      </c>
      <c r="K4" s="4">
        <f>(J4/D14-1)</f>
        <v>-5.9858070253988815E-2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0.27573941000000002</v>
      </c>
      <c r="C6" s="39">
        <v>0</v>
      </c>
      <c r="D6" s="39">
        <f>(B6*C6)</f>
        <v>0</v>
      </c>
      <c r="E6" s="37">
        <f>(B6*J3)</f>
        <v>4.0419842235881846E-2</v>
      </c>
      <c r="M6" t="s">
        <v>11</v>
      </c>
      <c r="N6" s="29">
        <f>($B$14/5)</f>
        <v>12.603709792</v>
      </c>
      <c r="O6" s="37">
        <f>($C$5*Params!K8)</f>
        <v>0.21940472231459929</v>
      </c>
      <c r="P6" s="37">
        <f>(O6*N6)</f>
        <v>2.7653134470475558</v>
      </c>
      <c r="R6" s="25">
        <f>(B6)</f>
        <v>0.27573941000000002</v>
      </c>
      <c r="S6" s="39">
        <v>0</v>
      </c>
      <c r="T6" s="39">
        <f>(D6)</f>
        <v>0</v>
      </c>
      <c r="U6" s="37">
        <f>(E6)</f>
        <v>4.0419842235881846E-2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12.603709792</v>
      </c>
      <c r="O7" s="37">
        <f>($C$5*Params!K9)</f>
        <v>0.27003658131027602</v>
      </c>
      <c r="P7" s="37">
        <f>(O7*N7)</f>
        <v>3.4034627040585304</v>
      </c>
      <c r="R7" s="29">
        <f>SUM(B7:B10)</f>
        <v>2.6028095500000017</v>
      </c>
      <c r="S7" s="37">
        <v>0</v>
      </c>
      <c r="T7" s="37">
        <f>SUM(D7:D10)</f>
        <v>-0.3241360000000002</v>
      </c>
      <c r="U7" s="38"/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12.603709792</v>
      </c>
      <c r="O8" s="37">
        <f>($C$5*Params!K10)</f>
        <v>0.37130029930162955</v>
      </c>
      <c r="P8" s="37">
        <f>(O8*N8)</f>
        <v>4.6797612180804791</v>
      </c>
      <c r="R8" s="29"/>
      <c r="S8" s="37"/>
      <c r="T8" s="37"/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12.603709792</v>
      </c>
      <c r="O9" s="37">
        <f>($C$5*Params!K11)</f>
        <v>0.67509145327569009</v>
      </c>
      <c r="P9" s="37">
        <f>(O9*N9)</f>
        <v>8.5086567601463265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19.357194129332893</v>
      </c>
    </row>
    <row r="13" spans="2:21">
      <c r="F13" t="s">
        <v>9</v>
      </c>
      <c r="G13" s="37">
        <f>(D14/B14)</f>
        <v>0.15592018797888865</v>
      </c>
    </row>
    <row r="14" spans="2:21">
      <c r="B14" s="29">
        <f>(SUM(B5:B13))</f>
        <v>63.018548960000004</v>
      </c>
      <c r="D14" s="37">
        <f>(SUM(D5:D13))</f>
        <v>9.8258639999999993</v>
      </c>
    </row>
    <row r="17" spans="11:20">
      <c r="N17" s="29"/>
      <c r="R17" s="29">
        <f>(SUM(R5:R16))</f>
        <v>63.018548960000004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C9:C10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O6:O9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S5 S7:S8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2023-05-31T12:22:22Z</dcterms:modified>
</cp:coreProperties>
</file>