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N8"/>
  <c r="S6"/>
  <c r="R6"/>
  <c r="N6"/>
  <c r="E6"/>
  <c r="D6"/>
  <c r="T6" s="1"/>
  <c r="T5"/>
  <c r="R5"/>
  <c r="R18" s="1"/>
  <c r="C5"/>
  <c r="O9" s="1"/>
  <c r="P9" s="1"/>
  <c r="J4"/>
  <c r="B14" i="38"/>
  <c r="N9"/>
  <c r="N8"/>
  <c r="N7"/>
  <c r="S6"/>
  <c r="R6"/>
  <c r="N6"/>
  <c r="E6"/>
  <c r="D6"/>
  <c r="D14" s="1"/>
  <c r="G13" s="1"/>
  <c r="T5"/>
  <c r="R5"/>
  <c r="R18" s="1"/>
  <c r="C5"/>
  <c r="O8" s="1"/>
  <c r="P8" s="1"/>
  <c r="J4"/>
  <c r="K4" s="1"/>
  <c r="B14" i="37"/>
  <c r="C12"/>
  <c r="C11"/>
  <c r="C10"/>
  <c r="N9"/>
  <c r="C9"/>
  <c r="T8"/>
  <c r="S8"/>
  <c r="R8"/>
  <c r="N8"/>
  <c r="C8"/>
  <c r="T7"/>
  <c r="R7"/>
  <c r="P7"/>
  <c r="O7" s="1"/>
  <c r="N7"/>
  <c r="C7"/>
  <c r="T6"/>
  <c r="S6"/>
  <c r="R6"/>
  <c r="P6"/>
  <c r="N6"/>
  <c r="O6" s="1"/>
  <c r="E6"/>
  <c r="D6"/>
  <c r="D14" s="1"/>
  <c r="T5"/>
  <c r="S5" s="1"/>
  <c r="R5"/>
  <c r="R18" s="1"/>
  <c r="C5"/>
  <c r="O8" s="1"/>
  <c r="P8" s="1"/>
  <c r="J4"/>
  <c r="N9" i="36"/>
  <c r="N8"/>
  <c r="D7"/>
  <c r="T7" s="1"/>
  <c r="B7"/>
  <c r="B10" s="1"/>
  <c r="J4" s="1"/>
  <c r="S6"/>
  <c r="R6"/>
  <c r="P6"/>
  <c r="N6"/>
  <c r="N7" s="1"/>
  <c r="E6"/>
  <c r="D6"/>
  <c r="T6" s="1"/>
  <c r="T5"/>
  <c r="R5"/>
  <c r="C5"/>
  <c r="O9" s="1"/>
  <c r="P9" s="1"/>
  <c r="B13" i="35"/>
  <c r="N9"/>
  <c r="N8"/>
  <c r="N7"/>
  <c r="N6"/>
  <c r="Q6" s="1"/>
  <c r="E6"/>
  <c r="D6"/>
  <c r="D13" s="1"/>
  <c r="C5"/>
  <c r="O9" s="1"/>
  <c r="P9" s="1"/>
  <c r="J4"/>
  <c r="C44" i="34"/>
  <c r="C43"/>
  <c r="C42"/>
  <c r="D41"/>
  <c r="C41"/>
  <c r="C40"/>
  <c r="D39"/>
  <c r="C39"/>
  <c r="D38"/>
  <c r="C38"/>
  <c r="C37"/>
  <c r="C36"/>
  <c r="C35"/>
  <c r="B34"/>
  <c r="C34" s="1"/>
  <c r="D33"/>
  <c r="C33" s="1"/>
  <c r="C32"/>
  <c r="C31"/>
  <c r="C30"/>
  <c r="R29"/>
  <c r="D29"/>
  <c r="C29"/>
  <c r="T28"/>
  <c r="S28"/>
  <c r="R28"/>
  <c r="B28"/>
  <c r="C28" s="1"/>
  <c r="C27"/>
  <c r="B26"/>
  <c r="C26" s="1"/>
  <c r="T25"/>
  <c r="R25"/>
  <c r="O25"/>
  <c r="P25" s="1"/>
  <c r="T27" s="1"/>
  <c r="N25"/>
  <c r="R27" s="1"/>
  <c r="C25"/>
  <c r="T24"/>
  <c r="S24"/>
  <c r="R24"/>
  <c r="N24"/>
  <c r="C24"/>
  <c r="T23"/>
  <c r="R23"/>
  <c r="N23"/>
  <c r="C23"/>
  <c r="T22"/>
  <c r="S22" s="1"/>
  <c r="R22"/>
  <c r="C22"/>
  <c r="O23" s="1"/>
  <c r="T21"/>
  <c r="V21" s="1"/>
  <c r="R21"/>
  <c r="C21"/>
  <c r="T20"/>
  <c r="V20" s="1"/>
  <c r="R20"/>
  <c r="C20"/>
  <c r="T19"/>
  <c r="V19" s="1"/>
  <c r="R19"/>
  <c r="N26" s="1"/>
  <c r="C19"/>
  <c r="T18"/>
  <c r="R18"/>
  <c r="E18"/>
  <c r="T17"/>
  <c r="R17"/>
  <c r="P17"/>
  <c r="T29" s="1"/>
  <c r="O17"/>
  <c r="N17"/>
  <c r="C17"/>
  <c r="T16"/>
  <c r="S16"/>
  <c r="R16"/>
  <c r="O16"/>
  <c r="N16"/>
  <c r="N39" s="1"/>
  <c r="C16"/>
  <c r="T15"/>
  <c r="S15" s="1"/>
  <c r="R15"/>
  <c r="O15"/>
  <c r="P15" s="1"/>
  <c r="N15"/>
  <c r="E15"/>
  <c r="B15"/>
  <c r="T14"/>
  <c r="S14"/>
  <c r="R14"/>
  <c r="O14"/>
  <c r="P14" s="1"/>
  <c r="N14"/>
  <c r="E14"/>
  <c r="B14"/>
  <c r="T13"/>
  <c r="S13" s="1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O8"/>
  <c r="N8"/>
  <c r="B8"/>
  <c r="C8" s="1"/>
  <c r="T7"/>
  <c r="R7"/>
  <c r="P7"/>
  <c r="O7"/>
  <c r="N7"/>
  <c r="C7"/>
  <c r="T6"/>
  <c r="R6"/>
  <c r="O6"/>
  <c r="P6" s="1"/>
  <c r="N6"/>
  <c r="C6"/>
  <c r="B6"/>
  <c r="S5"/>
  <c r="B5"/>
  <c r="D5" s="1"/>
  <c r="D46" s="1"/>
  <c r="D10" i="33"/>
  <c r="B10"/>
  <c r="N9"/>
  <c r="G9"/>
  <c r="N8"/>
  <c r="N7"/>
  <c r="N6"/>
  <c r="C5"/>
  <c r="O7" s="1"/>
  <c r="P7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4" i="31"/>
  <c r="N9"/>
  <c r="N8"/>
  <c r="P7"/>
  <c r="N7"/>
  <c r="D7"/>
  <c r="C7" s="1"/>
  <c r="U6"/>
  <c r="R6"/>
  <c r="N6"/>
  <c r="P6" s="1"/>
  <c r="E6"/>
  <c r="D6"/>
  <c r="T6" s="1"/>
  <c r="T17" s="1"/>
  <c r="T5"/>
  <c r="S5"/>
  <c r="R5"/>
  <c r="R17" s="1"/>
  <c r="C5"/>
  <c r="O9" s="1"/>
  <c r="P9" s="1"/>
  <c r="J4"/>
  <c r="O3"/>
  <c r="N3"/>
  <c r="B25" i="30"/>
  <c r="D23"/>
  <c r="C23" s="1"/>
  <c r="C22"/>
  <c r="C21"/>
  <c r="D20"/>
  <c r="C20" s="1"/>
  <c r="C19"/>
  <c r="E18"/>
  <c r="C18"/>
  <c r="C17"/>
  <c r="P16"/>
  <c r="O16" s="1"/>
  <c r="N16"/>
  <c r="C16"/>
  <c r="T15"/>
  <c r="R15"/>
  <c r="P15"/>
  <c r="N15"/>
  <c r="C15"/>
  <c r="T14"/>
  <c r="S14" s="1"/>
  <c r="R14"/>
  <c r="P14"/>
  <c r="O14"/>
  <c r="N14"/>
  <c r="C14"/>
  <c r="T13"/>
  <c r="R13"/>
  <c r="C13"/>
  <c r="T12"/>
  <c r="S12" s="1"/>
  <c r="R12"/>
  <c r="C12"/>
  <c r="T11"/>
  <c r="R11"/>
  <c r="C11"/>
  <c r="T10"/>
  <c r="S10" s="1"/>
  <c r="R10"/>
  <c r="C10"/>
  <c r="R9"/>
  <c r="N9" s="1"/>
  <c r="D9"/>
  <c r="D25" s="1"/>
  <c r="G24" s="1"/>
  <c r="T8"/>
  <c r="R8"/>
  <c r="N17" s="1"/>
  <c r="P8"/>
  <c r="O8"/>
  <c r="N8"/>
  <c r="C8"/>
  <c r="T7"/>
  <c r="R7"/>
  <c r="E7"/>
  <c r="U6"/>
  <c r="T6"/>
  <c r="S6" s="1"/>
  <c r="O17" s="1"/>
  <c r="R6"/>
  <c r="P6"/>
  <c r="O6"/>
  <c r="N6"/>
  <c r="C6"/>
  <c r="T5"/>
  <c r="S5"/>
  <c r="R5"/>
  <c r="R28" s="1"/>
  <c r="C5"/>
  <c r="O9" s="1"/>
  <c r="P9" s="1"/>
  <c r="J4"/>
  <c r="K4" s="1"/>
  <c r="B11" i="29"/>
  <c r="N9" s="1"/>
  <c r="T9"/>
  <c r="S9" s="1"/>
  <c r="R9"/>
  <c r="C9"/>
  <c r="R8"/>
  <c r="N8"/>
  <c r="D8"/>
  <c r="T8" s="1"/>
  <c r="S8" s="1"/>
  <c r="C8"/>
  <c r="R7"/>
  <c r="P7"/>
  <c r="O7"/>
  <c r="N7"/>
  <c r="E7"/>
  <c r="D7"/>
  <c r="T7" s="1"/>
  <c r="U6"/>
  <c r="T6"/>
  <c r="P6"/>
  <c r="N6"/>
  <c r="E6"/>
  <c r="D6"/>
  <c r="D11" s="1"/>
  <c r="G10" s="1"/>
  <c r="T5"/>
  <c r="S5"/>
  <c r="R5"/>
  <c r="R28" s="1"/>
  <c r="C5"/>
  <c r="O9" s="1"/>
  <c r="P9" s="1"/>
  <c r="J4"/>
  <c r="K4" s="1"/>
  <c r="B10" i="28"/>
  <c r="N9" s="1"/>
  <c r="N7"/>
  <c r="E6"/>
  <c r="D6"/>
  <c r="D10" s="1"/>
  <c r="G9" s="1"/>
  <c r="C5"/>
  <c r="O9" s="1"/>
  <c r="P9" s="1"/>
  <c r="J4"/>
  <c r="K4" s="1"/>
  <c r="B16" i="27"/>
  <c r="D16" s="1"/>
  <c r="T9" s="1"/>
  <c r="D15"/>
  <c r="B15"/>
  <c r="B18" s="1"/>
  <c r="J4" s="1"/>
  <c r="N14"/>
  <c r="C14"/>
  <c r="C13"/>
  <c r="C12"/>
  <c r="C11"/>
  <c r="T10"/>
  <c r="R10"/>
  <c r="N17" s="1"/>
  <c r="C10"/>
  <c r="R9"/>
  <c r="N9" s="1"/>
  <c r="C9"/>
  <c r="T8"/>
  <c r="S8"/>
  <c r="R8"/>
  <c r="N8"/>
  <c r="C8"/>
  <c r="T7"/>
  <c r="S7" s="1"/>
  <c r="R7"/>
  <c r="C7"/>
  <c r="O9" s="1"/>
  <c r="P9" s="1"/>
  <c r="R6"/>
  <c r="N7" s="1"/>
  <c r="N6"/>
  <c r="E6"/>
  <c r="D6"/>
  <c r="D18" s="1"/>
  <c r="G17" s="1"/>
  <c r="T5"/>
  <c r="S5"/>
  <c r="R5"/>
  <c r="R17" s="1"/>
  <c r="C5"/>
  <c r="O15" s="1"/>
  <c r="E37" i="26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S26" s="1"/>
  <c r="R26"/>
  <c r="B26"/>
  <c r="D26" s="1"/>
  <c r="T25"/>
  <c r="R25"/>
  <c r="B25"/>
  <c r="D25" s="1"/>
  <c r="T24"/>
  <c r="R24"/>
  <c r="C24"/>
  <c r="T23"/>
  <c r="R23"/>
  <c r="C23"/>
  <c r="T22"/>
  <c r="R22"/>
  <c r="C22"/>
  <c r="R21"/>
  <c r="C21"/>
  <c r="R20"/>
  <c r="S20" s="1"/>
  <c r="D20"/>
  <c r="R19"/>
  <c r="S19" s="1"/>
  <c r="D19"/>
  <c r="R18"/>
  <c r="S18" s="1"/>
  <c r="E18"/>
  <c r="D18"/>
  <c r="R17"/>
  <c r="T17" s="1"/>
  <c r="D17"/>
  <c r="R16"/>
  <c r="T16" s="1"/>
  <c r="C16"/>
  <c r="R15"/>
  <c r="T15" s="1"/>
  <c r="C15"/>
  <c r="R14"/>
  <c r="T14" s="1"/>
  <c r="C14"/>
  <c r="T13"/>
  <c r="S13" s="1"/>
  <c r="R13"/>
  <c r="C13"/>
  <c r="S12"/>
  <c r="R12"/>
  <c r="O12"/>
  <c r="P12" s="1"/>
  <c r="N12"/>
  <c r="C12"/>
  <c r="R11"/>
  <c r="S11" s="1"/>
  <c r="C11"/>
  <c r="R10"/>
  <c r="S10" s="1"/>
  <c r="C10"/>
  <c r="C9"/>
  <c r="B9"/>
  <c r="B39" s="1"/>
  <c r="S8"/>
  <c r="R8"/>
  <c r="C8"/>
  <c r="R7"/>
  <c r="T7" s="1"/>
  <c r="D7"/>
  <c r="R6"/>
  <c r="T6" s="1"/>
  <c r="N6"/>
  <c r="O6" s="1"/>
  <c r="P6" s="1"/>
  <c r="D6"/>
  <c r="T5"/>
  <c r="R5"/>
  <c r="D5"/>
  <c r="D39" s="1"/>
  <c r="G39" s="1"/>
  <c r="D20" i="25"/>
  <c r="D19"/>
  <c r="D18"/>
  <c r="D17"/>
  <c r="D16"/>
  <c r="D15"/>
  <c r="D14"/>
  <c r="D13"/>
  <c r="D12"/>
  <c r="D11"/>
  <c r="D10"/>
  <c r="D9"/>
  <c r="D8"/>
  <c r="B7"/>
  <c r="C7" s="1"/>
  <c r="O6"/>
  <c r="E6"/>
  <c r="D6"/>
  <c r="D5"/>
  <c r="D22" s="1"/>
  <c r="B15" i="24"/>
  <c r="C13"/>
  <c r="C12"/>
  <c r="C11"/>
  <c r="C10"/>
  <c r="C9"/>
  <c r="T8"/>
  <c r="R8"/>
  <c r="U8" s="1"/>
  <c r="C8"/>
  <c r="T7"/>
  <c r="S7" s="1"/>
  <c r="R7"/>
  <c r="O7"/>
  <c r="C7"/>
  <c r="R6"/>
  <c r="N6"/>
  <c r="E6"/>
  <c r="D6"/>
  <c r="T5"/>
  <c r="S5"/>
  <c r="R5"/>
  <c r="R21" s="1"/>
  <c r="C5"/>
  <c r="J4"/>
  <c r="D11" i="23"/>
  <c r="B11"/>
  <c r="G10"/>
  <c r="R9"/>
  <c r="R22" s="1"/>
  <c r="O9"/>
  <c r="D9"/>
  <c r="T8"/>
  <c r="R8"/>
  <c r="P8"/>
  <c r="O8" s="1"/>
  <c r="N8"/>
  <c r="C8"/>
  <c r="T7"/>
  <c r="R7"/>
  <c r="P7"/>
  <c r="O7"/>
  <c r="N7"/>
  <c r="D7"/>
  <c r="C7"/>
  <c r="S6"/>
  <c r="R6"/>
  <c r="P6"/>
  <c r="N6"/>
  <c r="E6"/>
  <c r="D6"/>
  <c r="T6" s="1"/>
  <c r="T5"/>
  <c r="S5"/>
  <c r="R5"/>
  <c r="C5"/>
  <c r="J4"/>
  <c r="K4" s="1"/>
  <c r="B10" i="22"/>
  <c r="N7"/>
  <c r="D7"/>
  <c r="C7"/>
  <c r="P6"/>
  <c r="O6"/>
  <c r="N3" s="1"/>
  <c r="N6"/>
  <c r="E6"/>
  <c r="D6"/>
  <c r="D10" s="1"/>
  <c r="G9" s="1"/>
  <c r="C5"/>
  <c r="O7" s="1"/>
  <c r="P7" s="1"/>
  <c r="J4"/>
  <c r="K4" s="1"/>
  <c r="O3"/>
  <c r="P3" s="1"/>
  <c r="D10" i="21"/>
  <c r="B10"/>
  <c r="O9"/>
  <c r="P9" s="1"/>
  <c r="N9"/>
  <c r="G9"/>
  <c r="N8"/>
  <c r="N7"/>
  <c r="N6"/>
  <c r="C5"/>
  <c r="O7" s="1"/>
  <c r="P7" s="1"/>
  <c r="J4"/>
  <c r="K4" s="1"/>
  <c r="B12" i="20"/>
  <c r="J4" s="1"/>
  <c r="C10"/>
  <c r="T9"/>
  <c r="R9"/>
  <c r="N9"/>
  <c r="C9"/>
  <c r="T8"/>
  <c r="R8"/>
  <c r="C8"/>
  <c r="T7"/>
  <c r="R7"/>
  <c r="P7"/>
  <c r="N7"/>
  <c r="C7"/>
  <c r="T6"/>
  <c r="S6" s="1"/>
  <c r="R6"/>
  <c r="P6"/>
  <c r="O6"/>
  <c r="N6"/>
  <c r="E6"/>
  <c r="D6"/>
  <c r="D12" s="1"/>
  <c r="G11" s="1"/>
  <c r="T5"/>
  <c r="R5"/>
  <c r="R24" s="1"/>
  <c r="C5"/>
  <c r="O9" s="1"/>
  <c r="P9" s="1"/>
  <c r="K4"/>
  <c r="D14" i="19"/>
  <c r="G13" s="1"/>
  <c r="B14"/>
  <c r="C12"/>
  <c r="D11"/>
  <c r="C11"/>
  <c r="C10"/>
  <c r="T9"/>
  <c r="R9"/>
  <c r="O9"/>
  <c r="C9"/>
  <c r="T8"/>
  <c r="S8"/>
  <c r="R8"/>
  <c r="C8"/>
  <c r="T7"/>
  <c r="R7"/>
  <c r="N8" s="1"/>
  <c r="P7"/>
  <c r="O7"/>
  <c r="N7"/>
  <c r="C7"/>
  <c r="S7" s="1"/>
  <c r="T6"/>
  <c r="S6"/>
  <c r="R6"/>
  <c r="N6"/>
  <c r="C6"/>
  <c r="O6" s="1"/>
  <c r="R5"/>
  <c r="C5"/>
  <c r="O8" s="1"/>
  <c r="K4"/>
  <c r="J4"/>
  <c r="O9" i="18"/>
  <c r="T8"/>
  <c r="O8"/>
  <c r="B8"/>
  <c r="R7"/>
  <c r="P7"/>
  <c r="D7"/>
  <c r="T6"/>
  <c r="R6"/>
  <c r="N6"/>
  <c r="E6"/>
  <c r="D6"/>
  <c r="D13" s="1"/>
  <c r="T5"/>
  <c r="R5"/>
  <c r="C12" i="17"/>
  <c r="D11"/>
  <c r="C11"/>
  <c r="O6" s="1"/>
  <c r="N3" s="1"/>
  <c r="T10"/>
  <c r="R10"/>
  <c r="C10"/>
  <c r="T9"/>
  <c r="R9"/>
  <c r="B9"/>
  <c r="D9" s="1"/>
  <c r="D8" s="1"/>
  <c r="T8" s="1"/>
  <c r="C8"/>
  <c r="B8"/>
  <c r="T7"/>
  <c r="S7" s="1"/>
  <c r="R7"/>
  <c r="P7"/>
  <c r="O7"/>
  <c r="N7"/>
  <c r="C7"/>
  <c r="T6"/>
  <c r="S6"/>
  <c r="R6"/>
  <c r="P6"/>
  <c r="N6"/>
  <c r="E6"/>
  <c r="D6"/>
  <c r="D14" s="1"/>
  <c r="R5"/>
  <c r="C5"/>
  <c r="D13" i="16"/>
  <c r="B13"/>
  <c r="G12"/>
  <c r="N9"/>
  <c r="N8"/>
  <c r="N7"/>
  <c r="N6"/>
  <c r="E6"/>
  <c r="D6"/>
  <c r="C5"/>
  <c r="O9" s="1"/>
  <c r="P9" s="1"/>
  <c r="J4"/>
  <c r="K4" s="1"/>
  <c r="N17" i="15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R37" s="1"/>
  <c r="O6"/>
  <c r="P6" s="1"/>
  <c r="N6"/>
  <c r="D6"/>
  <c r="R5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O9" s="1"/>
  <c r="P9" s="1"/>
  <c r="J4"/>
  <c r="K4" s="1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O8" s="1"/>
  <c r="N8"/>
  <c r="C8"/>
  <c r="T7"/>
  <c r="R7"/>
  <c r="N9" s="1"/>
  <c r="P7"/>
  <c r="O7"/>
  <c r="N7"/>
  <c r="C7"/>
  <c r="T6"/>
  <c r="S6"/>
  <c r="O9" s="1"/>
  <c r="P9" s="1"/>
  <c r="R6"/>
  <c r="N6"/>
  <c r="E6"/>
  <c r="D6"/>
  <c r="D19" s="1"/>
  <c r="T5"/>
  <c r="T19" s="1"/>
  <c r="R5"/>
  <c r="U5" s="1"/>
  <c r="C5"/>
  <c r="O6" s="1"/>
  <c r="P6" s="1"/>
  <c r="J4"/>
  <c r="K4" s="1"/>
  <c r="B14" i="12"/>
  <c r="N9"/>
  <c r="N8"/>
  <c r="N7"/>
  <c r="D7"/>
  <c r="D14" s="1"/>
  <c r="G13" s="1"/>
  <c r="N6"/>
  <c r="E6"/>
  <c r="D6"/>
  <c r="C5"/>
  <c r="O9" s="1"/>
  <c r="P9" s="1"/>
  <c r="J4"/>
  <c r="E7" s="1"/>
  <c r="B14" i="11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10"/>
  <c r="C11"/>
  <c r="O6" s="1"/>
  <c r="C10"/>
  <c r="N9"/>
  <c r="C9"/>
  <c r="T8"/>
  <c r="S8" s="1"/>
  <c r="R8"/>
  <c r="N8"/>
  <c r="C8"/>
  <c r="T7"/>
  <c r="R7"/>
  <c r="C7"/>
  <c r="R6"/>
  <c r="P6"/>
  <c r="N6"/>
  <c r="N7" s="1"/>
  <c r="E6"/>
  <c r="U6" s="1"/>
  <c r="D6"/>
  <c r="D14" s="1"/>
  <c r="G13" s="1"/>
  <c r="T5"/>
  <c r="S5"/>
  <c r="R5"/>
  <c r="R17" s="1"/>
  <c r="C5"/>
  <c r="O9" s="1"/>
  <c r="P9" s="1"/>
  <c r="J4"/>
  <c r="K4" s="1"/>
  <c r="B13" i="9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N7" i="8"/>
  <c r="C7"/>
  <c r="R6"/>
  <c r="U6" s="1"/>
  <c r="E6"/>
  <c r="D6"/>
  <c r="T6" s="1"/>
  <c r="R5"/>
  <c r="R13" s="1"/>
  <c r="C5"/>
  <c r="O9" s="1"/>
  <c r="B5"/>
  <c r="B13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N6"/>
  <c r="O6" s="1"/>
  <c r="D6"/>
  <c r="D5"/>
  <c r="D9" s="1"/>
  <c r="J4"/>
  <c r="K4" s="1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C35"/>
  <c r="B35"/>
  <c r="M34"/>
  <c r="C34"/>
  <c r="N33"/>
  <c r="M33"/>
  <c r="O33" s="1"/>
  <c r="D33"/>
  <c r="C33"/>
  <c r="B33"/>
  <c r="C32"/>
  <c r="N49" s="1"/>
  <c r="O49" s="1"/>
  <c r="B31"/>
  <c r="D31" s="1"/>
  <c r="T22" s="1"/>
  <c r="D30"/>
  <c r="B30"/>
  <c r="B38" s="1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R22"/>
  <c r="C22"/>
  <c r="N43" s="1"/>
  <c r="O43" s="1"/>
  <c r="T21"/>
  <c r="S21"/>
  <c r="R21"/>
  <c r="C21"/>
  <c r="T20"/>
  <c r="S20"/>
  <c r="N59" s="1"/>
  <c r="O59" s="1"/>
  <c r="R20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R37" s="1"/>
  <c r="D5"/>
  <c r="D38" s="1"/>
  <c r="G37" s="1"/>
  <c r="D41" i="1"/>
  <c r="C40"/>
  <c r="B38"/>
  <c r="D38" s="1"/>
  <c r="T21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R21"/>
  <c r="N21"/>
  <c r="D21"/>
  <c r="T20"/>
  <c r="S20"/>
  <c r="O29" s="1"/>
  <c r="R20"/>
  <c r="N29" s="1"/>
  <c r="N20"/>
  <c r="C20"/>
  <c r="T19"/>
  <c r="S19"/>
  <c r="O21" s="1"/>
  <c r="P21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P8" i="19" l="1"/>
  <c r="P12" i="4"/>
  <c r="P14"/>
  <c r="P20"/>
  <c r="P22"/>
  <c r="P30"/>
  <c r="P32"/>
  <c r="P11" i="13"/>
  <c r="O3" i="19"/>
  <c r="P3" i="31"/>
  <c r="O6" i="1"/>
  <c r="P6" s="1"/>
  <c r="O37"/>
  <c r="P37" s="1"/>
  <c r="O36"/>
  <c r="O35"/>
  <c r="O34"/>
  <c r="N75" i="2"/>
  <c r="N73"/>
  <c r="N76"/>
  <c r="O76" s="1"/>
  <c r="N74"/>
  <c r="O9"/>
  <c r="O14" s="1"/>
  <c r="N4"/>
  <c r="O22"/>
  <c r="N52"/>
  <c r="O52" s="1"/>
  <c r="N50"/>
  <c r="O50" s="1"/>
  <c r="N51"/>
  <c r="O51" s="1"/>
  <c r="O54" s="1"/>
  <c r="J7"/>
  <c r="J8" s="1"/>
  <c r="J4"/>
  <c r="K4" s="1"/>
  <c r="T10" i="1"/>
  <c r="S10" s="1"/>
  <c r="P29"/>
  <c r="B43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L40" i="5"/>
  <c r="M40" s="1"/>
  <c r="M47" s="1"/>
  <c r="M39"/>
  <c r="J4" i="8"/>
  <c r="N9"/>
  <c r="R32" i="13"/>
  <c r="G18"/>
  <c r="N3"/>
  <c r="O3"/>
  <c r="P18" i="1"/>
  <c r="O20"/>
  <c r="P20" s="1"/>
  <c r="N26"/>
  <c r="N27"/>
  <c r="N28"/>
  <c r="B39"/>
  <c r="N26" i="2"/>
  <c r="O26" s="1"/>
  <c r="O30" s="1"/>
  <c r="N27"/>
  <c r="O27" s="1"/>
  <c r="N35"/>
  <c r="O35" s="1"/>
  <c r="O38" s="1"/>
  <c r="N36"/>
  <c r="O36" s="1"/>
  <c r="N42"/>
  <c r="O42" s="1"/>
  <c r="O46" s="1"/>
  <c r="N44"/>
  <c r="O44" s="1"/>
  <c r="M57"/>
  <c r="O57" s="1"/>
  <c r="N58"/>
  <c r="N60"/>
  <c r="O60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P35"/>
  <c r="K4" i="9"/>
  <c r="P25" i="13"/>
  <c r="H37" i="5"/>
  <c r="I37" s="1"/>
  <c r="K37" s="1"/>
  <c r="H38"/>
  <c r="N3" i="10"/>
  <c r="O3"/>
  <c r="T5" i="1"/>
  <c r="O19"/>
  <c r="P19" s="1"/>
  <c r="O26"/>
  <c r="P26" s="1"/>
  <c r="O27"/>
  <c r="P27" s="1"/>
  <c r="O28"/>
  <c r="P28" s="1"/>
  <c r="N34"/>
  <c r="N35"/>
  <c r="N36"/>
  <c r="T5" i="2"/>
  <c r="T37" s="1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K14" i="5"/>
  <c r="I38"/>
  <c r="K38" s="1"/>
  <c r="P9" i="8"/>
  <c r="T7" i="18"/>
  <c r="C7"/>
  <c r="P6"/>
  <c r="R8"/>
  <c r="R22" s="1"/>
  <c r="C8"/>
  <c r="N7"/>
  <c r="O7" s="1"/>
  <c r="R33" i="19"/>
  <c r="N9"/>
  <c r="O6" i="23"/>
  <c r="N12" i="25"/>
  <c r="N6"/>
  <c r="O7" i="27"/>
  <c r="P7" s="1"/>
  <c r="O8"/>
  <c r="P8" s="1"/>
  <c r="O6"/>
  <c r="P6" s="1"/>
  <c r="P23" i="34"/>
  <c r="K4" i="35"/>
  <c r="G12"/>
  <c r="Q9"/>
  <c r="Q8"/>
  <c r="Q7"/>
  <c r="G13" i="37"/>
  <c r="K4"/>
  <c r="O3"/>
  <c r="N3"/>
  <c r="P6" i="4"/>
  <c r="G8"/>
  <c r="O6" i="8"/>
  <c r="O8"/>
  <c r="T6" i="9"/>
  <c r="T13" s="1"/>
  <c r="T6" i="10"/>
  <c r="T17" s="1"/>
  <c r="O7"/>
  <c r="P7" s="1"/>
  <c r="O8"/>
  <c r="P8" s="1"/>
  <c r="U5" i="11"/>
  <c r="N7"/>
  <c r="P7" s="1"/>
  <c r="R14"/>
  <c r="O6" i="12"/>
  <c r="P6" s="1"/>
  <c r="O8"/>
  <c r="P8" s="1"/>
  <c r="V7" i="13"/>
  <c r="R19"/>
  <c r="O6" i="14"/>
  <c r="O7"/>
  <c r="O8"/>
  <c r="R15"/>
  <c r="T6" i="15"/>
  <c r="O14"/>
  <c r="O15"/>
  <c r="P15" s="1"/>
  <c r="D17"/>
  <c r="K4" s="1"/>
  <c r="O6" i="16"/>
  <c r="P6" s="1"/>
  <c r="O8"/>
  <c r="P8" s="1"/>
  <c r="P6" i="19"/>
  <c r="O8" i="22"/>
  <c r="O9"/>
  <c r="K4" i="27"/>
  <c r="T28" i="29"/>
  <c r="P17" i="30"/>
  <c r="O9" i="17"/>
  <c r="O8"/>
  <c r="T22" i="18"/>
  <c r="S5"/>
  <c r="T24" i="20"/>
  <c r="S5"/>
  <c r="N9" i="22"/>
  <c r="N8"/>
  <c r="T9" i="23"/>
  <c r="T22" s="1"/>
  <c r="C9"/>
  <c r="D15" i="24"/>
  <c r="G14" s="1"/>
  <c r="T6"/>
  <c r="S6" s="1"/>
  <c r="O9"/>
  <c r="O8"/>
  <c r="O6"/>
  <c r="P6" s="1"/>
  <c r="O9" i="26"/>
  <c r="P9" s="1"/>
  <c r="J4"/>
  <c r="O26" i="34"/>
  <c r="P26" s="1"/>
  <c r="O24"/>
  <c r="P24" s="1"/>
  <c r="D5" i="8"/>
  <c r="N6"/>
  <c r="O7"/>
  <c r="P7" s="1"/>
  <c r="N8"/>
  <c r="O6" i="9"/>
  <c r="O8"/>
  <c r="P8" s="1"/>
  <c r="P11" s="1"/>
  <c r="N6" i="11"/>
  <c r="P6" s="1"/>
  <c r="N8"/>
  <c r="P8" s="1"/>
  <c r="K4" i="12"/>
  <c r="O7"/>
  <c r="P7" s="1"/>
  <c r="N6" i="14"/>
  <c r="N7"/>
  <c r="N8"/>
  <c r="T5" i="15"/>
  <c r="O7"/>
  <c r="P7" s="1"/>
  <c r="O8"/>
  <c r="P8" s="1"/>
  <c r="T9"/>
  <c r="N14"/>
  <c r="O16"/>
  <c r="P16" s="1"/>
  <c r="O7" i="16"/>
  <c r="P7" s="1"/>
  <c r="O3" i="17"/>
  <c r="P3" s="1"/>
  <c r="T5"/>
  <c r="T13" s="1"/>
  <c r="B14"/>
  <c r="S6" i="18"/>
  <c r="B13"/>
  <c r="G12" s="1"/>
  <c r="N3" i="19"/>
  <c r="P3" s="1"/>
  <c r="P9"/>
  <c r="S9"/>
  <c r="O3" i="20"/>
  <c r="O7"/>
  <c r="N3" s="1"/>
  <c r="N8"/>
  <c r="O6" i="21"/>
  <c r="P6" s="1"/>
  <c r="O8"/>
  <c r="P8" s="1"/>
  <c r="N9" i="23"/>
  <c r="P9" s="1"/>
  <c r="P11" s="1"/>
  <c r="P6" i="25"/>
  <c r="T21" i="26"/>
  <c r="S21" s="1"/>
  <c r="P19" i="30"/>
  <c r="K4" i="32"/>
  <c r="T18" i="36"/>
  <c r="T18" i="39"/>
  <c r="U5" i="17"/>
  <c r="R8"/>
  <c r="R13" s="1"/>
  <c r="S5" i="19"/>
  <c r="T5" s="1"/>
  <c r="T33" s="1"/>
  <c r="W33" s="1"/>
  <c r="O8" i="20"/>
  <c r="P8" s="1"/>
  <c r="P11" s="1"/>
  <c r="N7" i="24"/>
  <c r="P7" s="1"/>
  <c r="N9"/>
  <c r="O12" i="25"/>
  <c r="P12" s="1"/>
  <c r="B22"/>
  <c r="J4" s="1"/>
  <c r="R9" i="26"/>
  <c r="S9" s="1"/>
  <c r="U6" i="27"/>
  <c r="O14"/>
  <c r="P14" s="1"/>
  <c r="N15"/>
  <c r="P15" s="1"/>
  <c r="O16"/>
  <c r="O17"/>
  <c r="P17" s="1"/>
  <c r="N6" i="28"/>
  <c r="O7"/>
  <c r="P7" s="1"/>
  <c r="N8"/>
  <c r="O6" i="29"/>
  <c r="O8"/>
  <c r="P8" s="1"/>
  <c r="P11" s="1"/>
  <c r="N7" i="30"/>
  <c r="C9"/>
  <c r="T9"/>
  <c r="V9" s="1"/>
  <c r="O15"/>
  <c r="O8" i="31"/>
  <c r="P8" s="1"/>
  <c r="P12" s="1"/>
  <c r="D14"/>
  <c r="G13" s="1"/>
  <c r="O6" i="33"/>
  <c r="P6" s="1"/>
  <c r="O8"/>
  <c r="P8" s="1"/>
  <c r="O9"/>
  <c r="P9" s="1"/>
  <c r="R5" i="34"/>
  <c r="P16"/>
  <c r="P19" s="1"/>
  <c r="R26"/>
  <c r="B46"/>
  <c r="J4" s="1"/>
  <c r="K4" s="1"/>
  <c r="O6" i="35"/>
  <c r="P6" s="1"/>
  <c r="O7"/>
  <c r="P7" s="1"/>
  <c r="O8"/>
  <c r="P8" s="1"/>
  <c r="S5" i="36"/>
  <c r="O7"/>
  <c r="P7" s="1"/>
  <c r="R7"/>
  <c r="R18" s="1"/>
  <c r="D10"/>
  <c r="G9" s="1"/>
  <c r="O9" i="37"/>
  <c r="P9" s="1"/>
  <c r="P11" s="1"/>
  <c r="T18"/>
  <c r="O6" i="38"/>
  <c r="P6" s="1"/>
  <c r="T6"/>
  <c r="T18" s="1"/>
  <c r="O7"/>
  <c r="P7" s="1"/>
  <c r="O9"/>
  <c r="P9" s="1"/>
  <c r="S5" i="39"/>
  <c r="N7"/>
  <c r="O8"/>
  <c r="P8" s="1"/>
  <c r="D14"/>
  <c r="N8" i="24"/>
  <c r="T6" i="27"/>
  <c r="T17" s="1"/>
  <c r="N16"/>
  <c r="O6" i="28"/>
  <c r="P6" s="1"/>
  <c r="O8"/>
  <c r="P8" s="1"/>
  <c r="O7" i="30"/>
  <c r="V8"/>
  <c r="O6" i="32"/>
  <c r="P6" s="1"/>
  <c r="P11" s="1"/>
  <c r="N3" i="34"/>
  <c r="N9"/>
  <c r="P9" s="1"/>
  <c r="P11" s="1"/>
  <c r="T26"/>
  <c r="O6" i="36"/>
  <c r="C7"/>
  <c r="O8"/>
  <c r="P8" s="1"/>
  <c r="S5" i="38"/>
  <c r="O6" i="39"/>
  <c r="P6" s="1"/>
  <c r="O7"/>
  <c r="P7" s="1"/>
  <c r="P11" i="36" l="1"/>
  <c r="P3" i="20"/>
  <c r="P11" i="15"/>
  <c r="P12" i="10"/>
  <c r="P26" i="4"/>
  <c r="P11" i="11"/>
  <c r="O3" i="29"/>
  <c r="N3"/>
  <c r="N9" i="17"/>
  <c r="N8"/>
  <c r="J4"/>
  <c r="K4" s="1"/>
  <c r="T37" i="15"/>
  <c r="S5"/>
  <c r="P6" i="8"/>
  <c r="O3"/>
  <c r="N3"/>
  <c r="O6" i="18"/>
  <c r="H42" i="5"/>
  <c r="I42" s="1"/>
  <c r="K42" s="1"/>
  <c r="H39"/>
  <c r="D39" i="1"/>
  <c r="D43" s="1"/>
  <c r="T22"/>
  <c r="T18"/>
  <c r="R18"/>
  <c r="N10"/>
  <c r="P10" s="1"/>
  <c r="R22"/>
  <c r="P11" i="38"/>
  <c r="P11" i="33"/>
  <c r="N18" i="8"/>
  <c r="O18" s="1"/>
  <c r="P9" i="24"/>
  <c r="P9" i="17"/>
  <c r="K4" i="36"/>
  <c r="K4" i="31"/>
  <c r="T28" i="30"/>
  <c r="T39" i="26"/>
  <c r="T21" i="24"/>
  <c r="P9" i="22"/>
  <c r="P14" i="15"/>
  <c r="P19" s="1"/>
  <c r="P7" i="14"/>
  <c r="P3" i="37"/>
  <c r="O3" i="34"/>
  <c r="P3" s="1"/>
  <c r="P11" i="27"/>
  <c r="P3" i="10"/>
  <c r="S8" i="17"/>
  <c r="P3" i="13"/>
  <c r="O75" i="2"/>
  <c r="P35" i="1"/>
  <c r="N3" i="36"/>
  <c r="O3"/>
  <c r="O3" i="30"/>
  <c r="P7"/>
  <c r="P11" s="1"/>
  <c r="K4" i="39"/>
  <c r="G13"/>
  <c r="R46" i="34"/>
  <c r="T5"/>
  <c r="T46" s="1"/>
  <c r="N9" i="18"/>
  <c r="P9" s="1"/>
  <c r="N8"/>
  <c r="P8" s="1"/>
  <c r="P11" s="1"/>
  <c r="J4"/>
  <c r="K4" s="1"/>
  <c r="N3" i="9"/>
  <c r="O3"/>
  <c r="D13" i="8"/>
  <c r="G12" s="1"/>
  <c r="T5"/>
  <c r="N3" i="23"/>
  <c r="O3"/>
  <c r="J12" i="1"/>
  <c r="J13" s="1"/>
  <c r="J4"/>
  <c r="K4" s="1"/>
  <c r="O4" i="2"/>
  <c r="M4"/>
  <c r="P11" i="39"/>
  <c r="P11" i="28"/>
  <c r="P11" i="35"/>
  <c r="P16" i="27"/>
  <c r="P20"/>
  <c r="G46" i="34"/>
  <c r="N3" i="30"/>
  <c r="R39" i="26"/>
  <c r="P11" i="21"/>
  <c r="P8" i="24"/>
  <c r="P11" s="1"/>
  <c r="P8" i="17"/>
  <c r="P12" s="1"/>
  <c r="K4" i="24"/>
  <c r="P8" i="22"/>
  <c r="P11" s="1"/>
  <c r="P13" i="19"/>
  <c r="P11" i="16"/>
  <c r="P8" i="14"/>
  <c r="P6"/>
  <c r="P12" s="1"/>
  <c r="P12" i="12"/>
  <c r="P8" i="8"/>
  <c r="P28" i="34"/>
  <c r="G13" i="17"/>
  <c r="P31" i="1"/>
  <c r="T32"/>
  <c r="P23"/>
  <c r="M58" i="2"/>
  <c r="O58" s="1"/>
  <c r="O62" s="1"/>
  <c r="O74"/>
  <c r="O73"/>
  <c r="O78" s="1"/>
  <c r="P34" i="1"/>
  <c r="P36"/>
  <c r="N3"/>
  <c r="P3" s="1"/>
  <c r="G42" l="1"/>
  <c r="G7"/>
  <c r="N3" i="18"/>
  <c r="O3"/>
  <c r="W46" i="34"/>
  <c r="P3" i="36"/>
  <c r="S18" i="1"/>
  <c r="P3" i="8"/>
  <c r="P3" i="29"/>
  <c r="S5" i="8"/>
  <c r="T13"/>
  <c r="N11" i="1"/>
  <c r="R32"/>
  <c r="H40" i="5"/>
  <c r="I40" s="1"/>
  <c r="K40" s="1"/>
  <c r="I39"/>
  <c r="K39" s="1"/>
  <c r="P39" i="1"/>
  <c r="K4" i="8"/>
  <c r="P3" i="23"/>
  <c r="P3" i="9"/>
  <c r="P3" i="30"/>
  <c r="P11" i="8"/>
  <c r="O12" i="1" l="1"/>
  <c r="P12" s="1"/>
  <c r="O11"/>
  <c r="P11" s="1"/>
  <c r="O13"/>
  <c r="P13" s="1"/>
  <c r="J13" i="5"/>
  <c r="P3" i="18"/>
  <c r="O47" i="5" l="1"/>
  <c r="P47" s="1"/>
  <c r="J15"/>
  <c r="J16" s="1"/>
  <c r="P15" i="1"/>
</calcChain>
</file>

<file path=xl/sharedStrings.xml><?xml version="1.0" encoding="utf-8"?>
<sst xmlns="http://schemas.openxmlformats.org/spreadsheetml/2006/main" count="892" uniqueCount="102">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</sst>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5459328"/>
        <c:axId val="85461248"/>
      </c:lineChart>
      <c:dateAx>
        <c:axId val="85459328"/>
        <c:scaling>
          <c:orientation val="minMax"/>
        </c:scaling>
        <c:axPos val="b"/>
        <c:numFmt formatCode="dd/mm/yy;@" sourceLinked="1"/>
        <c:majorTickMark val="none"/>
        <c:tickLblPos val="nextTo"/>
        <c:crossAx val="85461248"/>
        <c:crosses val="autoZero"/>
        <c:lblOffset val="100"/>
      </c:dateAx>
      <c:valAx>
        <c:axId val="854612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5459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abSelected="1"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2350.7255343614352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1333.2039257078009</v>
      </c>
      <c r="K4" s="4">
        <f>(J4/D43-1)</f>
        <v>-0.12855796952938181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2697.5122293469558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6.6176200000000003E-3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4.1595396000000007E-2</v>
      </c>
      <c r="O11" s="24">
        <f>($S$18*[1]Params!K16)</f>
        <v>3386.8799043656859</v>
      </c>
      <c r="P11" s="25">
        <f>(O11*N11)</f>
        <v>140.87861082653285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6.6176200000000003E-3</v>
      </c>
      <c r="C12" s="28">
        <v>0</v>
      </c>
      <c r="D12" s="29">
        <f t="shared" si="0"/>
        <v>0</v>
      </c>
      <c r="E12" s="23">
        <f>(B12*J3)</f>
        <v>15.556208310700921</v>
      </c>
      <c r="I12" t="s">
        <v>13</v>
      </c>
      <c r="J12">
        <f>(J11-B43)</f>
        <v>3.2854280000000013E-2</v>
      </c>
      <c r="N12">
        <f>($B$35/5)</f>
        <v>2.3120198000000002E-2</v>
      </c>
      <c r="O12" s="24">
        <f>($S$18*[1]Params!K17)</f>
        <v>6773.7598087313718</v>
      </c>
      <c r="P12" s="25">
        <f>(O12*N12)</f>
        <v>156.61066798231144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77.231394909060242</v>
      </c>
      <c r="N13">
        <f>($B$35/5)</f>
        <v>2.3120198000000002E-2</v>
      </c>
      <c r="O13" s="24">
        <f>($S$18*[1]Params!K18)</f>
        <v>13547.519617462744</v>
      </c>
      <c r="P13" s="25">
        <f>(O13*N13)</f>
        <v>313.22133596462288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618.16583977346716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0.11095599</v>
      </c>
      <c r="S18" s="24">
        <f>(T18/R18)</f>
        <v>1693.4399521828429</v>
      </c>
      <c r="T18" s="25">
        <f>(D35+1283.68*B39)</f>
        <v>187.89730640000002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8.6975679999999993E-3</v>
      </c>
      <c r="O19" s="24">
        <f>($S$19*[1]Params!K16)</f>
        <v>3456.3484423338546</v>
      </c>
      <c r="P19" s="25">
        <f>(O19*N19)</f>
        <v>30.061825608892775</v>
      </c>
      <c r="R19" s="26">
        <f>(B36+B38)</f>
        <v>2.2801419999999999E-2</v>
      </c>
      <c r="S19" s="24">
        <f>(T19/R19)</f>
        <v>1728.1742211669273</v>
      </c>
      <c r="T19" s="25">
        <f>(D36+1269.75*B38)</f>
        <v>39.404826249999999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4.701284E-3</v>
      </c>
      <c r="O20" s="24">
        <f>($S$19*[1]Params!K17)</f>
        <v>6912.6968846677091</v>
      </c>
      <c r="P20" s="25">
        <f>(O20*N20)</f>
        <v>32.498551260738147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4.701284E-3</v>
      </c>
      <c r="O21" s="24">
        <f>($S$19*[1]Params!K18)</f>
        <v>13825.393769335418</v>
      </c>
      <c r="P21" s="25">
        <f>(O21*N21)</f>
        <v>64.997102521476293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128.68900439110723</v>
      </c>
      <c r="R23" s="26">
        <f>(B40)</f>
        <v>5.3624520000000002E-2</v>
      </c>
      <c r="S23" s="24">
        <f>(T23/R23)</f>
        <v>1848.9675991505378</v>
      </c>
      <c r="T23" s="25">
        <f>(D40)</f>
        <v>99.15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0.54676612000000002</v>
      </c>
      <c r="T32" s="25">
        <f>(SUM(T5:T31))</f>
        <v>1483.5189255217842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1.0724904E-2</v>
      </c>
      <c r="O34" s="24">
        <f>($S$23*[1]Params!K15)</f>
        <v>2773.4513987258069</v>
      </c>
      <c r="P34" s="25">
        <f>(O34*N34)</f>
        <v>29.745000000000005</v>
      </c>
    </row>
    <row r="35" spans="2:16">
      <c r="B35" s="26">
        <v>0.11560099</v>
      </c>
      <c r="C35" s="24">
        <f>(D35/B35)</f>
        <v>1676.9752577378447</v>
      </c>
      <c r="D35" s="25">
        <v>193.86</v>
      </c>
      <c r="E35" t="s">
        <v>10</v>
      </c>
      <c r="N35">
        <f>($R$23/5)</f>
        <v>1.0724904E-2</v>
      </c>
      <c r="O35" s="24">
        <f>($S$23*[1]Params!K16)</f>
        <v>3697.9351983010756</v>
      </c>
      <c r="P35" s="25">
        <f>(O35*N35)</f>
        <v>39.660000000000004</v>
      </c>
    </row>
    <row r="36" spans="2:16">
      <c r="B36" s="26">
        <v>2.350642E-2</v>
      </c>
      <c r="C36" s="24">
        <f>(D36/B36)</f>
        <v>1714.4252506336566</v>
      </c>
      <c r="D36" s="25">
        <v>40.299999999999997</v>
      </c>
      <c r="E36" t="s">
        <v>15</v>
      </c>
      <c r="N36">
        <f>($R$23/5)</f>
        <v>1.0724904E-2</v>
      </c>
      <c r="O36" s="24">
        <f>($S$23*[1]Params!K17)</f>
        <v>7395.8703966021512</v>
      </c>
      <c r="P36" s="25">
        <f>(O36*N36)</f>
        <v>79.320000000000007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1.0724904E-2</v>
      </c>
      <c r="O37" s="24">
        <f>($S$23*[1]Params!K18)</f>
        <v>14791.740793204302</v>
      </c>
      <c r="P37" s="25">
        <f>(O37*N37)</f>
        <v>158.64000000000001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307.36500000000001</v>
      </c>
    </row>
    <row r="40" spans="2:16">
      <c r="B40" s="26">
        <v>5.3624520000000002E-2</v>
      </c>
      <c r="C40" s="24">
        <f>(D40/B40)</f>
        <v>1848.9675991505378</v>
      </c>
      <c r="D40" s="25">
        <v>99.15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2697.5122293469558</v>
      </c>
    </row>
    <row r="43" spans="2:16">
      <c r="B43">
        <f>(SUM(B5:B42))</f>
        <v>0.56714571999999996</v>
      </c>
      <c r="D43" s="25">
        <f>(SUM(D5:D42))</f>
        <v>1529.8825155217844</v>
      </c>
    </row>
  </sheetData>
  <conditionalFormatting sqref="C5:C7 C11 C18:C25 C27 C29 C31 C33 C35:C37 C40:C41 N6 O11:O13 O19:O21 O26:O29 O34:O37 S5:S7 S10:S15 S18:S20 S23">
    <cfRule type="cellIs" dxfId="317" priority="37" operator="lessThan">
      <formula>$J$3</formula>
    </cfRule>
    <cfRule type="cellIs" dxfId="316" priority="38" operator="greaterThan">
      <formula>$J$3</formula>
    </cfRule>
  </conditionalFormatting>
  <conditionalFormatting sqref="G42">
    <cfRule type="cellIs" dxfId="315" priority="21" operator="lessThan">
      <formula>$J$3</formula>
    </cfRule>
    <cfRule type="cellIs" dxfId="314" priority="22" operator="greaterThan">
      <formula>$J$3</formula>
    </cfRule>
  </conditionalFormatting>
  <conditionalFormatting sqref="O3">
    <cfRule type="cellIs" dxfId="313" priority="9" operator="greaterThan">
      <formula>$J$3</formula>
    </cfRule>
    <cfRule type="cellIs" dxfId="31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0.2354551469268743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11.925357929681486</v>
      </c>
      <c r="K4" s="4">
        <f>(J4/D14-1)</f>
        <v>0.7015265383475584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0.56529938000000002</v>
      </c>
      <c r="C6" s="28">
        <v>0</v>
      </c>
      <c r="D6" s="28">
        <f>(B6*C6)</f>
        <v>0</v>
      </c>
      <c r="E6" s="23">
        <f>(B6*J3)</f>
        <v>0.13310264857557094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0.56529938000000002</v>
      </c>
      <c r="S6" s="28">
        <v>0</v>
      </c>
      <c r="T6" s="28">
        <f>(D6)</f>
        <v>0</v>
      </c>
      <c r="U6" s="23">
        <f>(E6)</f>
        <v>0.13310264857557094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12.663243572000003</v>
      </c>
      <c r="O7" s="23">
        <f>($C$5*[1]Params!K9)</f>
        <v>0.27003658131027602</v>
      </c>
      <c r="P7" s="23">
        <f>(O7*N7)</f>
        <v>3.419539002482209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12.661621786000001</v>
      </c>
      <c r="O8" s="23">
        <f>($C$5*[1]Params!K10)</f>
        <v>0.37130029930162955</v>
      </c>
      <c r="P8" s="23">
        <f>(O8*N8)</f>
        <v>4.7012639587858338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12.661621786000001</v>
      </c>
      <c r="O9" s="23">
        <f>($C$5*[1]Params!K11)</f>
        <v>0.84386431659461258</v>
      </c>
      <c r="P9" s="23">
        <f>(O9*N9)</f>
        <v>10.68469081542235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21.622734836690391</v>
      </c>
    </row>
    <row r="13" spans="2:21">
      <c r="F13" t="s">
        <v>9</v>
      </c>
      <c r="G13" s="23">
        <f>(D14/B14)</f>
        <v>0.13837876848840519</v>
      </c>
    </row>
    <row r="14" spans="2:21">
      <c r="B14" s="35">
        <f>(SUM(B5:B13))</f>
        <v>50.648108930000006</v>
      </c>
      <c r="D14" s="23">
        <f>(SUM(D5:D13))</f>
        <v>7.0086229399999986</v>
      </c>
    </row>
    <row r="17" spans="11:20">
      <c r="N17" s="35"/>
      <c r="R17" s="35">
        <f>(SUM(R5:R16))</f>
        <v>50.648108930000006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55" priority="15" operator="lessThan">
      <formula>$J$3</formula>
    </cfRule>
    <cfRule type="cellIs" dxfId="254" priority="16" operator="greaterThan">
      <formula>$J$3</formula>
    </cfRule>
  </conditionalFormatting>
  <conditionalFormatting sqref="C9:C10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S5 S7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G13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1.698009277846434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23.916404185698351</v>
      </c>
      <c r="K4" s="4">
        <f>(J4/D14-1)</f>
        <v>-0.40373585881777518</v>
      </c>
      <c r="R4" t="s">
        <v>5</v>
      </c>
      <c r="S4" t="s">
        <v>6</v>
      </c>
      <c r="T4" t="s">
        <v>7</v>
      </c>
    </row>
    <row r="5" spans="2:21">
      <c r="B5" s="35">
        <v>13.438368199999999</v>
      </c>
      <c r="C5" s="23">
        <f>(D5/B5)</f>
        <v>2.9988760093654823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0.58065679000000003</v>
      </c>
      <c r="S5" s="28">
        <v>0</v>
      </c>
      <c r="T5" s="29">
        <f>(D6)</f>
        <v>0</v>
      </c>
      <c r="U5" s="23">
        <f>(R5*J3)</f>
        <v>0.9859606166645285</v>
      </c>
    </row>
    <row r="6" spans="2:21">
      <c r="B6" s="47">
        <v>0.58065679000000003</v>
      </c>
      <c r="C6" s="28">
        <v>0</v>
      </c>
      <c r="D6" s="29">
        <f>(B6*C6)</f>
        <v>0</v>
      </c>
      <c r="E6" s="23">
        <f>(B6*J3)</f>
        <v>0.9859606166645285</v>
      </c>
      <c r="M6" t="s">
        <v>11</v>
      </c>
      <c r="N6" s="35">
        <f>(SUM(R5:R7)/5)</f>
        <v>2.8169933459999998</v>
      </c>
      <c r="O6" s="23">
        <f>($C$5*[1]Params!K8)</f>
        <v>3.898538812175127</v>
      </c>
      <c r="P6" s="23">
        <f>(O6*N6)</f>
        <v>10.982157893020077</v>
      </c>
      <c r="R6" s="35">
        <f>(B5)</f>
        <v>13.438368199999999</v>
      </c>
      <c r="S6" s="23">
        <f>(T6/R6)</f>
        <v>2.9988760093654823</v>
      </c>
      <c r="T6" s="23">
        <f>(D5)</f>
        <v>40.299999999999997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2.8169933459999998</v>
      </c>
      <c r="O7" s="23">
        <f>($C$5*[1]Params!K9)</f>
        <v>4.7982016149847722</v>
      </c>
      <c r="P7" s="23">
        <f>(O7*N7)</f>
        <v>13.516502022178557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0.30155127631733725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2.8169933459999998</v>
      </c>
      <c r="O8" s="23">
        <f>($C$5*[1]Params!K10)</f>
        <v>6.5975272206040616</v>
      </c>
      <c r="P8" s="23">
        <f>(O8*N8)</f>
        <v>18.585190280495514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2.8169933459999998</v>
      </c>
      <c r="O9" s="23">
        <f>($C$5*[1]Params!K11)</f>
        <v>14.994380046827411</v>
      </c>
      <c r="P9" s="23">
        <f>(O9*N9)</f>
        <v>42.239068819307981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85.322919015002128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2.8477467628352713</v>
      </c>
    </row>
    <row r="14" spans="2:21">
      <c r="B14" s="35">
        <f>(SUM(B5:B13))</f>
        <v>14.084966730000001</v>
      </c>
      <c r="D14" s="23">
        <f>(SUM(D5:D13))</f>
        <v>40.110418410000001</v>
      </c>
      <c r="R14" s="35">
        <f>(SUM(R5:R13))</f>
        <v>14.08496673</v>
      </c>
      <c r="T14" s="23">
        <f>(SUM(T5:T13))</f>
        <v>40.110418409999994</v>
      </c>
    </row>
    <row r="22" spans="4:4">
      <c r="D22" s="35"/>
    </row>
  </sheetData>
  <conditionalFormatting sqref="C5 C7:C12">
    <cfRule type="cellIs" dxfId="243" priority="7" operator="lessThan">
      <formula>$J$3</formula>
    </cfRule>
    <cfRule type="cellIs" dxfId="242" priority="8" operator="greaterThan">
      <formula>$J$3</formula>
    </cfRule>
  </conditionalFormatting>
  <conditionalFormatting sqref="O6:O9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S6:S7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11.381873238069961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13.938274519497936</v>
      </c>
      <c r="K4" s="4">
        <f>(J4/D14-1)</f>
        <v>0.27523097159176002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1.0008772017940468</v>
      </c>
      <c r="M6" t="s">
        <v>11</v>
      </c>
      <c r="N6" s="1">
        <f>(SUM($B$5:$B$7)/5)</f>
        <v>0.244920572</v>
      </c>
      <c r="O6" s="23">
        <f>($C$5*[1]Params!K8)</f>
        <v>12.800900900900901</v>
      </c>
      <c r="P6" s="23">
        <f>(O6*N6)</f>
        <v>3.1352039707639641</v>
      </c>
    </row>
    <row r="7" spans="2:16">
      <c r="B7" s="47">
        <v>2.6666789999999999E-2</v>
      </c>
      <c r="C7" s="28">
        <v>0</v>
      </c>
      <c r="D7" s="29">
        <f>(C7*B7)</f>
        <v>0</v>
      </c>
      <c r="E7" s="23">
        <f>(B7*J4)</f>
        <v>0.37168903957380234</v>
      </c>
      <c r="N7" s="1">
        <f>(SUM($B$5:$B$7)/5)</f>
        <v>0.244920572</v>
      </c>
      <c r="O7" s="23">
        <f>($C$5*[1]Params!K9)</f>
        <v>15.754954954954954</v>
      </c>
      <c r="P7" s="23">
        <f>(O7*N7)</f>
        <v>3.8587125794018018</v>
      </c>
    </row>
    <row r="8" spans="2:16">
      <c r="N8" s="1">
        <f>(SUM($B$5:$B$7)/5)</f>
        <v>0.244920572</v>
      </c>
      <c r="O8" s="23">
        <f>($C$5*[1]Params!K10)</f>
        <v>21.663063063063063</v>
      </c>
      <c r="P8" s="23">
        <f>(O8*N8)</f>
        <v>5.3057297966774772</v>
      </c>
    </row>
    <row r="9" spans="2:16">
      <c r="N9" s="1">
        <f>(SUM($B$5:$B$7)/5)</f>
        <v>0.244920572</v>
      </c>
      <c r="O9" s="23">
        <f>($C$5*[1]Params!K11)</f>
        <v>49.234234234234229</v>
      </c>
      <c r="P9" s="23">
        <f>(O9*N9)</f>
        <v>12.05847681063063</v>
      </c>
    </row>
    <row r="12" spans="2:16">
      <c r="P12" s="23">
        <f>(SUM(P6:P9))</f>
        <v>24.358123157473873</v>
      </c>
    </row>
    <row r="13" spans="2:16">
      <c r="F13" t="s">
        <v>9</v>
      </c>
      <c r="G13" s="23">
        <f>(D14/B14)</f>
        <v>8.9253425392130801</v>
      </c>
    </row>
    <row r="14" spans="2:16">
      <c r="B14" s="19">
        <f>(SUM(B5:B13))</f>
        <v>1.2246028600000001</v>
      </c>
      <c r="D14" s="23">
        <f>(SUM(D5:D13))</f>
        <v>10.93</v>
      </c>
    </row>
  </sheetData>
  <conditionalFormatting sqref="C5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:O9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40.010763066054963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55.415058087170493</v>
      </c>
      <c r="K4" s="4">
        <f>(J4/D19-1)</f>
        <v>-107.1441329261622</v>
      </c>
      <c r="R4" t="s">
        <v>5</v>
      </c>
      <c r="S4" t="s">
        <v>6</v>
      </c>
      <c r="T4" t="s">
        <v>7</v>
      </c>
    </row>
    <row r="5" spans="2:22">
      <c r="B5" s="26">
        <v>2.5373158899999999</v>
      </c>
      <c r="C5" s="23">
        <f>(D5/B5)</f>
        <v>15.882925795258389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1.608221E-2</v>
      </c>
      <c r="S5" s="28">
        <v>0</v>
      </c>
      <c r="T5" s="29">
        <f>(D6)</f>
        <v>0</v>
      </c>
      <c r="U5" s="23">
        <f>(R5*J3)</f>
        <v>0.64346149388853979</v>
      </c>
    </row>
    <row r="6" spans="2:22">
      <c r="B6" s="27">
        <v>1.608221E-2</v>
      </c>
      <c r="C6" s="28">
        <v>0</v>
      </c>
      <c r="D6" s="29">
        <f>(B6*C6)</f>
        <v>0</v>
      </c>
      <c r="E6" s="23">
        <f>(B6*J3)</f>
        <v>0.64346149388853979</v>
      </c>
      <c r="M6" t="s">
        <v>11</v>
      </c>
      <c r="N6" s="26">
        <f>($B$5+$R$7)/5</f>
        <v>0.51392259400000007</v>
      </c>
      <c r="O6" s="23">
        <f>($C$5*[1]Params!K8)</f>
        <v>20.647803533835905</v>
      </c>
      <c r="P6" s="23">
        <f>(O6*N6)</f>
        <v>10.611372752511317</v>
      </c>
      <c r="Q6" t="s">
        <v>12</v>
      </c>
      <c r="R6" s="26">
        <f>B5+B13+B15+B17</f>
        <v>1.0390158899999999</v>
      </c>
      <c r="S6" s="23">
        <f>(T6/R6)</f>
        <v>16.910360244827437</v>
      </c>
      <c r="T6" s="23">
        <f>D5-(-B13-B15)*15.13+B17*15.25</f>
        <v>17.570132999999998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1.4958857056054218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0.55303354999999998</v>
      </c>
      <c r="O9" s="23">
        <f>($S$6*[1]Params!K11)</f>
        <v>84.551801224137193</v>
      </c>
      <c r="P9" s="23">
        <f>(O9*N9)</f>
        <v>46.75998278987894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87.76081423239026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-0.37694747663432265</v>
      </c>
    </row>
    <row r="19" spans="2:20">
      <c r="B19" s="26">
        <f>(SUM(B5:B18))</f>
        <v>1.3850037799999995</v>
      </c>
      <c r="D19" s="23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1.3850037799999999</v>
      </c>
      <c r="T19" s="23">
        <f>(SUM(T5:T18))</f>
        <v>-0.5220736800000001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-0.37694747663432265</v>
      </c>
    </row>
  </sheetData>
  <conditionalFormatting sqref="C5 C9:C11 G18 O9 O23 S6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S8">
    <cfRule type="cellIs" dxfId="227" priority="13" operator="lessThan">
      <formula>$J$3</formula>
    </cfRule>
    <cfRule type="cellIs" dxfId="226" priority="1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3.755436513510613E-3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3.5875168216681952</v>
      </c>
      <c r="K4" s="4">
        <f>(J4/D13-1)</f>
        <v>0.26670652610080969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23" priority="17" operator="lessThan">
      <formula>$J$3</formula>
    </cfRule>
    <cfRule type="cellIs" dxfId="222" priority="18" operator="greaterThan">
      <formula>$J$3</formula>
    </cfRule>
  </conditionalFormatting>
  <conditionalFormatting sqref="C9:C11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">
    <cfRule type="cellIs" dxfId="213" priority="7" operator="lessThan">
      <formula>$J$3</formula>
    </cfRule>
    <cfRule type="cellIs" dxfId="212" priority="8" operator="greaterThan">
      <formula>$J$3</formula>
    </cfRule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G12">
    <cfRule type="cellIs" dxfId="209" priority="3" operator="lessThan">
      <formula>$J$3</formula>
    </cfRule>
    <cfRule type="cellIs" dxfId="208" priority="4" operator="greaterThan">
      <formula>$J$3</formula>
    </cfRule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323.66895479515421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232.07670290764887</v>
      </c>
      <c r="K4" s="4">
        <f>(J4/D17-1)</f>
        <v>0.15950361107703448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0.112601066</v>
      </c>
      <c r="O6" s="23">
        <f>($S$8*[1]Params!K8)</f>
        <v>369.14570595628294</v>
      </c>
      <c r="P6" s="23">
        <f>(O6*N6)</f>
        <v>41.566200000000009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7.6062204376861231E-2</v>
      </c>
      <c r="I7" t="s">
        <v>11</v>
      </c>
      <c r="J7">
        <v>1</v>
      </c>
      <c r="N7" s="26">
        <f>($R$8/5)</f>
        <v>0.112601066</v>
      </c>
      <c r="O7" s="23">
        <f>($S$8*[1]Params!K9)</f>
        <v>454.33317656157897</v>
      </c>
      <c r="P7" s="23">
        <f>(O7*N7)</f>
        <v>51.158400000000007</v>
      </c>
      <c r="R7" s="49">
        <f>(B7+B8+B10)</f>
        <v>2.6669100000000002E-3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3.0742077326443747E-2</v>
      </c>
      <c r="I8" t="s">
        <v>13</v>
      </c>
      <c r="J8" s="49">
        <f>(J7-B17)</f>
        <v>0.28298127000000006</v>
      </c>
      <c r="N8" s="26">
        <f>($R$8/5)</f>
        <v>0.112601066</v>
      </c>
      <c r="O8" s="23">
        <f>($S$8*[1]Params!K10)</f>
        <v>624.70811777217114</v>
      </c>
      <c r="P8" s="23">
        <f>(O8*N8)</f>
        <v>70.342800000000011</v>
      </c>
      <c r="R8" s="49">
        <f>(B11)</f>
        <v>0.56300532999999997</v>
      </c>
      <c r="S8" s="23">
        <f>(C11)</f>
        <v>283.95823535098685</v>
      </c>
      <c r="T8" s="23">
        <f>(R8*S8)</f>
        <v>159.87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91.592251887505341</v>
      </c>
      <c r="N9" s="26">
        <f>($R$8/5)</f>
        <v>0.112601066</v>
      </c>
      <c r="O9" s="23">
        <f>($S$8*[1]Params!K11)</f>
        <v>1419.7911767549342</v>
      </c>
      <c r="P9" s="23">
        <f>(O9*N9)</f>
        <v>159.87</v>
      </c>
      <c r="R9" s="49">
        <f>(B12)</f>
        <v>0.14160212999999999</v>
      </c>
      <c r="S9" s="23">
        <f>(C12)</f>
        <v>284.60023871109848</v>
      </c>
      <c r="T9" s="23">
        <f>(R9*S9)</f>
        <v>40.299999999999997</v>
      </c>
      <c r="U9" t="s">
        <v>15</v>
      </c>
    </row>
    <row r="10" spans="2:21">
      <c r="B10" s="50">
        <v>2.3369300000000001E-3</v>
      </c>
      <c r="C10" s="28">
        <v>0</v>
      </c>
      <c r="D10" s="29">
        <v>0</v>
      </c>
      <c r="E10" s="23">
        <f>(B10*J3)</f>
        <v>0.75639169052943978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0.56300532999999997</v>
      </c>
      <c r="C11" s="23">
        <f>(D11/B11)</f>
        <v>283.95823535098685</v>
      </c>
      <c r="D11" s="23">
        <v>159.87</v>
      </c>
      <c r="E11" t="s">
        <v>10</v>
      </c>
      <c r="P11" s="23">
        <f>(SUM(P6:P9))</f>
        <v>322.93740000000003</v>
      </c>
    </row>
    <row r="12" spans="2:21">
      <c r="B12" s="49">
        <v>0.14160212999999999</v>
      </c>
      <c r="C12" s="23">
        <f>(D12/B12)</f>
        <v>284.60023871109848</v>
      </c>
      <c r="D12" s="23">
        <v>40.299999999999997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2.8320425999999999E-2</v>
      </c>
      <c r="O14" s="23">
        <f>($S$9*[1]Params!K8)</f>
        <v>369.98031032442805</v>
      </c>
      <c r="P14" s="23">
        <f>(O14*N14)</f>
        <v>10.478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2.8320425999999999E-2</v>
      </c>
      <c r="O15" s="23">
        <f>($S$9*[1]Params!K9)</f>
        <v>455.36038193775761</v>
      </c>
      <c r="P15" s="23">
        <f>(O15*N15)</f>
        <v>12.896000000000001</v>
      </c>
    </row>
    <row r="16" spans="2:21">
      <c r="N16" s="26">
        <f>($R$9/5)</f>
        <v>2.8320425999999999E-2</v>
      </c>
      <c r="O16" s="23">
        <f>($S$9*[1]Params!K10)</f>
        <v>626.12052516441668</v>
      </c>
      <c r="P16" s="23">
        <f>(O16*N16)</f>
        <v>17.731999999999999</v>
      </c>
    </row>
    <row r="17" spans="2:16">
      <c r="B17" s="49">
        <f>(SUM(B5:B16))</f>
        <v>0.71701872999999994</v>
      </c>
      <c r="D17" s="23">
        <f>(SUM(D5:D16))</f>
        <v>200.15177244</v>
      </c>
      <c r="F17" t="s">
        <v>9</v>
      </c>
      <c r="G17" s="23">
        <f>(SUM(D5:D16)/SUM(B5:B16))</f>
        <v>279.1444129221004</v>
      </c>
      <c r="N17" s="26">
        <f>($R$9/5)</f>
        <v>2.8320425999999999E-2</v>
      </c>
      <c r="O17" s="23">
        <f>($S$9*[1]Params!K11)</f>
        <v>1423.0011935554924</v>
      </c>
      <c r="P17" s="23">
        <f>(O17*N17)</f>
        <v>40.299999999999997</v>
      </c>
    </row>
    <row r="18" spans="2:16">
      <c r="P18" s="23"/>
    </row>
    <row r="19" spans="2:16">
      <c r="P19" s="23">
        <f>(SUM(P14:P17))</f>
        <v>81.406000000000006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0.71701872999999994</v>
      </c>
      <c r="T37" s="23">
        <f>(SUM(T5:T27))</f>
        <v>200.15177244</v>
      </c>
    </row>
  </sheetData>
  <conditionalFormatting sqref="C5:C6 C9 C11:C14 O6:O9 O14 S5:S6 S8:S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15:O17">
    <cfRule type="cellIs" dxfId="203" priority="7" operator="lessThan">
      <formula>$J$3</formula>
    </cfRule>
    <cfRule type="cellIs" dxfId="202" priority="8" operator="greaterThan">
      <formula>$J$3</formula>
    </cfRule>
  </conditionalFormatting>
  <conditionalFormatting sqref="G17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9.1648558794588025E-2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5.6269690099598551</v>
      </c>
      <c r="K4" s="4">
        <f>(J4/D13-1)</f>
        <v>0.12539380199197092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0.27812651999999999</v>
      </c>
      <c r="C6" s="28">
        <v>0</v>
      </c>
      <c r="D6" s="29">
        <f>(B6*C6)</f>
        <v>0</v>
      </c>
      <c r="E6" s="23">
        <f>(B6*J3)</f>
        <v>2.5489894720554161E-2</v>
      </c>
      <c r="M6" t="s">
        <v>11</v>
      </c>
      <c r="N6" s="35">
        <f>($B$13/5)</f>
        <v>12.279448982</v>
      </c>
      <c r="O6" s="23">
        <f>($C$5*[1]Params!K8)</f>
        <v>0.10634970155367125</v>
      </c>
      <c r="P6" s="23">
        <f>(O6*N6)</f>
        <v>1.3059157344792323</v>
      </c>
    </row>
    <row r="7" spans="2:16">
      <c r="N7" s="35">
        <f>($B$13/5)</f>
        <v>12.279448982</v>
      </c>
      <c r="O7" s="23">
        <f>($C$5*[1]Params!K9)</f>
        <v>0.13089194037374924</v>
      </c>
      <c r="P7" s="23">
        <f>(O7*N7)</f>
        <v>1.6072809039744398</v>
      </c>
    </row>
    <row r="8" spans="2:16">
      <c r="N8" s="35">
        <f>($B$13/5)</f>
        <v>12.279448982</v>
      </c>
      <c r="O8" s="23">
        <f>($C$5*[1]Params!K10)</f>
        <v>0.17997641801390521</v>
      </c>
      <c r="P8" s="23">
        <f>(O8*N8)</f>
        <v>2.2100112429648546</v>
      </c>
    </row>
    <row r="9" spans="2:16">
      <c r="N9" s="35">
        <f>($B$13/5)</f>
        <v>12.279448982</v>
      </c>
      <c r="O9" s="23">
        <f>($C$5*[1]Params!K11)</f>
        <v>0.40903731366796636</v>
      </c>
      <c r="P9" s="23">
        <f>(O9*N9)</f>
        <v>5.0227528249201239</v>
      </c>
    </row>
    <row r="11" spans="2:16">
      <c r="P11" s="23">
        <f>(SUM(P6:P9))</f>
        <v>10.14596070633865</v>
      </c>
    </row>
    <row r="12" spans="2:16">
      <c r="F12" t="s">
        <v>9</v>
      </c>
      <c r="G12" s="23">
        <f>(D13/B13)</f>
        <v>8.1436878923953668E-2</v>
      </c>
    </row>
    <row r="13" spans="2:16">
      <c r="B13" s="35">
        <f>(SUM(B5:B12))</f>
        <v>61.397244909999998</v>
      </c>
      <c r="D13" s="23">
        <f>(SUM(D5:D12))</f>
        <v>5</v>
      </c>
    </row>
  </sheetData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C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2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8.3913560481502731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37.045510533032669</v>
      </c>
      <c r="K4" s="4">
        <f>(J4/D14-1)</f>
        <v>1.1901793671010221</v>
      </c>
      <c r="R4" t="s">
        <v>5</v>
      </c>
      <c r="S4" t="s">
        <v>6</v>
      </c>
      <c r="T4" t="s">
        <v>7</v>
      </c>
    </row>
    <row r="5" spans="2:21">
      <c r="B5" s="26">
        <v>7.1567479000000001</v>
      </c>
      <c r="C5" s="23">
        <f>(D5/B5)</f>
        <v>5.6310492647086248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7.3293410000000003E-2</v>
      </c>
      <c r="S5" s="28">
        <v>0</v>
      </c>
      <c r="T5" s="29">
        <f>(D6)</f>
        <v>0</v>
      </c>
      <c r="U5">
        <f>(R5*J3)</f>
        <v>0.61503109929305777</v>
      </c>
    </row>
    <row r="6" spans="2:21">
      <c r="B6" s="27">
        <v>7.3293410000000003E-2</v>
      </c>
      <c r="C6" s="28">
        <v>0</v>
      </c>
      <c r="D6" s="29">
        <f>(B6*C6)</f>
        <v>0</v>
      </c>
      <c r="E6" s="23">
        <f>(B6*J3)</f>
        <v>0.61503109929305777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4.2536478999999998</v>
      </c>
      <c r="S6" s="23">
        <f>(T6/R6)</f>
        <v>5.667734722471975</v>
      </c>
      <c r="T6" s="23">
        <f>D5+B11*5.54+B12*5.61077</f>
        <v>24.108547899999998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1.4875936560000005</v>
      </c>
      <c r="O8" s="23">
        <f>($C$5*[1]Params!K10)</f>
        <v>12.388308382358975</v>
      </c>
      <c r="P8" s="23">
        <f>(O8*N8)</f>
        <v>18.428768958168838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1.157564552</v>
      </c>
      <c r="O9" s="23">
        <f>($C$5*[1]Params!K11)</f>
        <v>28.155246323543125</v>
      </c>
      <c r="P9" s="23">
        <f>(O9*N9)</f>
        <v>32.591515096961842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74.700254565130678</v>
      </c>
    </row>
    <row r="13" spans="2:21">
      <c r="F13" t="s">
        <v>9</v>
      </c>
      <c r="G13" s="23">
        <f>(D14/B14)</f>
        <v>3.8313556296794493</v>
      </c>
      <c r="N13" s="26"/>
      <c r="P13" s="23"/>
      <c r="R13" s="26">
        <f>(SUM(R5:R12))</f>
        <v>4.4147227599999992</v>
      </c>
      <c r="T13" s="23">
        <f>(SUM(T5:T12))</f>
        <v>16.914372899999996</v>
      </c>
    </row>
    <row r="14" spans="2:21">
      <c r="B14">
        <f>(SUM(B5:B13))</f>
        <v>4.4147227600000001</v>
      </c>
      <c r="D14" s="23">
        <f>(SUM(D5:D13))</f>
        <v>16.914372899999996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68.648798112069457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5.1035960413725228</v>
      </c>
      <c r="K4" s="4">
        <f>(J4/D13-1)</f>
        <v>1.456162778985326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2.9458900000000001E-3</v>
      </c>
      <c r="C6" s="28">
        <v>0</v>
      </c>
      <c r="D6" s="29">
        <f>(B6*C6)</f>
        <v>0</v>
      </c>
      <c r="E6" s="23">
        <f>(B6*J3)</f>
        <v>0.20223180787036429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2.9458900000000001E-3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1.9818711999999999E-2</v>
      </c>
      <c r="O8" s="23">
        <f>($C$5*[1]Params!K10)</f>
        <v>94.666000000000011</v>
      </c>
      <c r="P8" s="23">
        <f>(O8*N8)</f>
        <v>1.8761581901920001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1.9818711999999999E-2</v>
      </c>
      <c r="O9" s="23">
        <f>($C$5*[1]Params!K11)</f>
        <v>215.15</v>
      </c>
      <c r="P9" s="23">
        <f>(O9*N9)</f>
        <v>4.2639958868000001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9.262280376991999</v>
      </c>
      <c r="R11" s="1"/>
      <c r="S11" s="23"/>
      <c r="T11" s="24"/>
    </row>
    <row r="12" spans="2:20">
      <c r="F12" t="s">
        <v>9</v>
      </c>
      <c r="G12" s="23">
        <f>(D13/B13)</f>
        <v>27.949612582448303</v>
      </c>
    </row>
    <row r="13" spans="2:20">
      <c r="B13">
        <f>(SUM(B5:B12))</f>
        <v>7.4343560000000003E-2</v>
      </c>
      <c r="D13" s="23">
        <f>(SUM(D5:D12))</f>
        <v>2.0778737000000005</v>
      </c>
    </row>
    <row r="22" spans="18:20">
      <c r="R22">
        <f>(SUM(R5:R21))</f>
        <v>7.4343560000000003E-2</v>
      </c>
      <c r="T22" s="23">
        <f>(SUM(T5:T21))</f>
        <v>2.0778737000000005</v>
      </c>
    </row>
  </sheetData>
  <conditionalFormatting sqref="C5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8:O9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G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S5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0.19107520417156559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5.1470553175052931</v>
      </c>
      <c r="K4" s="4">
        <f>(J4/D14-1)</f>
        <v>-8.8782704994394717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42512.106633105068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1243.1862106036212</v>
      </c>
      <c r="K4" s="4">
        <f>(J4/D38-1)</f>
        <v>0.80410941465385211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3.5073E-4</v>
      </c>
      <c r="C6" s="28">
        <v>0</v>
      </c>
      <c r="D6" s="29">
        <f>(B6*C6)</f>
        <v>0</v>
      </c>
      <c r="E6" s="23">
        <f>(B6*J3)</f>
        <v>14.910271159428941</v>
      </c>
      <c r="I6" t="s">
        <v>11</v>
      </c>
      <c r="J6">
        <v>0.03</v>
      </c>
      <c r="R6" s="26">
        <f t="shared" si="0"/>
        <v>3.5073E-4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7.5688999999999618E-4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32.176988389530734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6.6271899999999998E-3</v>
      </c>
      <c r="S19" s="23">
        <f t="shared" si="2"/>
        <v>24816.85281393773</v>
      </c>
      <c r="T19" s="23">
        <f>(D23+17438.6*B32)</f>
        <v>164.46599879999999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1.50746E-3</v>
      </c>
      <c r="S20" s="23">
        <f t="shared" si="2"/>
        <v>26139.306447932282</v>
      </c>
      <c r="T20" s="23">
        <f>(D24+17211.7*B31)</f>
        <v>39.403958897999999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6.9691900000000001E-3</v>
      </c>
      <c r="C23" s="23">
        <f t="shared" si="3"/>
        <v>24454.778819346295</v>
      </c>
      <c r="D23" s="23">
        <v>170.43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1.55952E-3</v>
      </c>
      <c r="C24" s="23">
        <f t="shared" si="3"/>
        <v>25841.28449779419</v>
      </c>
      <c r="D24" s="23">
        <v>40.299999999999997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1.80774E-3</v>
      </c>
      <c r="S24" s="23">
        <f>(T24/R24)</f>
        <v>27575.86821113656</v>
      </c>
      <c r="T24" s="23">
        <f>(D34)</f>
        <v>49.85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1.80774E-3</v>
      </c>
      <c r="C34" s="23">
        <f>(D34/B34)</f>
        <v>27575.86821113656</v>
      </c>
      <c r="D34" s="23">
        <v>49.85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23564.040122955463</v>
      </c>
      <c r="R37">
        <f>(SUM(R5:R25))</f>
        <v>2.9598909999999996E-2</v>
      </c>
      <c r="T37" s="23">
        <f>(SUM(T5:T25))</f>
        <v>551.42980017000002</v>
      </c>
    </row>
    <row r="38" spans="2:20">
      <c r="B38">
        <f>(SUM(B5:B37))</f>
        <v>2.9243110000000003E-2</v>
      </c>
      <c r="D38" s="23">
        <f>(SUM(D5:D37))</f>
        <v>689.08581736000019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2.4456760000000004E-3</v>
      </c>
      <c r="N50" s="23">
        <f>($S$19*[1]Params!K16)</f>
        <v>49633.705627875461</v>
      </c>
      <c r="O50" s="30">
        <f>(N50*M50)</f>
        <v>121.38796264515996</v>
      </c>
    </row>
    <row r="51" spans="12:16">
      <c r="M51">
        <f>($B$23/5)</f>
        <v>1.3938380000000001E-3</v>
      </c>
      <c r="N51" s="23">
        <f>($S$19*[1]Params!K17)</f>
        <v>99267.411255750922</v>
      </c>
      <c r="O51" s="30">
        <f>(N51*M51)</f>
        <v>138.36268996989335</v>
      </c>
    </row>
    <row r="52" spans="12:16">
      <c r="M52">
        <f>($B$23/5)</f>
        <v>1.3938380000000001E-3</v>
      </c>
      <c r="N52" s="23">
        <f>($S$19*[1]Params!K18)</f>
        <v>198534.82251150184</v>
      </c>
      <c r="O52" s="30">
        <f>(N52*M52)</f>
        <v>276.72537993978671</v>
      </c>
    </row>
    <row r="54" spans="12:16">
      <c r="O54" s="30">
        <f>(SUM(O49:O52))</f>
        <v>543.93163255484001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3">
        <f>($S$20*[1]Params!K16)</f>
        <v>52278.612895864564</v>
      </c>
      <c r="O58" s="30">
        <f>(N58*M58)</f>
        <v>29.89019236598477</v>
      </c>
    </row>
    <row r="59" spans="12:16">
      <c r="M59">
        <f>($B$24/5)</f>
        <v>3.11904E-4</v>
      </c>
      <c r="N59" s="23">
        <f>($S$20*[1]Params!K17)</f>
        <v>104557.22579172913</v>
      </c>
      <c r="O59" s="30">
        <f>(N59*M59)</f>
        <v>32.611816953343485</v>
      </c>
    </row>
    <row r="60" spans="12:16">
      <c r="M60">
        <f>($B$24/5)</f>
        <v>3.11904E-4</v>
      </c>
      <c r="N60" s="23">
        <f>($S$20*[1]Params!K18)</f>
        <v>209114.45158345826</v>
      </c>
      <c r="O60" s="30">
        <f>(N60*M60)</f>
        <v>65.22363390668697</v>
      </c>
    </row>
    <row r="62" spans="12:16">
      <c r="O62" s="30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3">
        <f>($S$24*[1]Params!K15)</f>
        <v>41363.802316704838</v>
      </c>
      <c r="O73" s="30">
        <f>(N73*M73)</f>
        <v>14.955</v>
      </c>
    </row>
    <row r="74" spans="12:16">
      <c r="M74">
        <f>($R$24/5)</f>
        <v>3.61548E-4</v>
      </c>
      <c r="N74" s="23">
        <f>($S$24*[1]Params!K16)</f>
        <v>55151.736422273119</v>
      </c>
      <c r="O74" s="30">
        <f>(N74*M74)</f>
        <v>19.940000000000001</v>
      </c>
    </row>
    <row r="75" spans="12:16">
      <c r="M75">
        <f>($R$24/5)</f>
        <v>3.61548E-4</v>
      </c>
      <c r="N75" s="23">
        <f>($S$24*[1]Params!K17)</f>
        <v>110303.47284454624</v>
      </c>
      <c r="O75" s="30">
        <f>(N75*M75)</f>
        <v>39.880000000000003</v>
      </c>
    </row>
    <row r="76" spans="12:16">
      <c r="M76">
        <f>($R$24/5)</f>
        <v>3.61548E-4</v>
      </c>
      <c r="N76" s="23">
        <f>($S$24*[1]Params!K18)</f>
        <v>220606.94568909248</v>
      </c>
      <c r="O76" s="30">
        <f>(N76*M76)</f>
        <v>79.760000000000005</v>
      </c>
    </row>
    <row r="78" spans="12:16">
      <c r="O78" s="30">
        <f>(SUM(O73:O76))</f>
        <v>154.53500000000003</v>
      </c>
    </row>
  </sheetData>
  <conditionalFormatting sqref="C5 C7:C17 C19:C20 C22:C25 C34:C36 G37 N10:N12 N20 N26:N28 N34:N35 S5 S7:S21 S24">
    <cfRule type="cellIs" dxfId="311" priority="45" operator="lessThan">
      <formula>$J$3</formula>
    </cfRule>
    <cfRule type="cellIs" dxfId="310" priority="46" operator="greaterThan">
      <formula>$J$3</formula>
    </cfRule>
  </conditionalFormatting>
  <conditionalFormatting sqref="N36">
    <cfRule type="cellIs" dxfId="309" priority="19" operator="lessThan">
      <formula>$J$3</formula>
    </cfRule>
    <cfRule type="cellIs" dxfId="308" priority="20" operator="greaterThan">
      <formula>$J$3</formula>
    </cfRule>
  </conditionalFormatting>
  <conditionalFormatting sqref="N42:N44">
    <cfRule type="cellIs" dxfId="307" priority="17" operator="lessThan">
      <formula>$J$3</formula>
    </cfRule>
    <cfRule type="cellIs" dxfId="306" priority="18" operator="greaterThan">
      <formula>$J$3</formula>
    </cfRule>
  </conditionalFormatting>
  <conditionalFormatting sqref="N50:N52">
    <cfRule type="cellIs" dxfId="305" priority="15" operator="lessThan">
      <formula>$J$3</formula>
    </cfRule>
    <cfRule type="cellIs" dxfId="304" priority="16" operator="greaterThan">
      <formula>$J$3</formula>
    </cfRule>
  </conditionalFormatting>
  <conditionalFormatting sqref="N58:N60">
    <cfRule type="cellIs" dxfId="303" priority="13" operator="lessThan">
      <formula>$J$3</formula>
    </cfRule>
    <cfRule type="cellIs" dxfId="302" priority="14" operator="greaterThan">
      <formula>$J$3</formula>
    </cfRule>
  </conditionalFormatting>
  <conditionalFormatting sqref="N66:N68">
    <cfRule type="cellIs" dxfId="301" priority="11" operator="lessThan">
      <formula>$J$3</formula>
    </cfRule>
    <cfRule type="cellIs" dxfId="300" priority="12" operator="greaterThan">
      <formula>$J$3</formula>
    </cfRule>
  </conditionalFormatting>
  <conditionalFormatting sqref="N73:N76">
    <cfRule type="cellIs" dxfId="299" priority="9" operator="lessThan">
      <formula>$J$3</formula>
    </cfRule>
    <cfRule type="cellIs" dxfId="298" priority="10" operator="greaterThan">
      <formula>$J$3</formula>
    </cfRule>
  </conditionalFormatting>
  <conditionalFormatting sqref="N4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10.009148844469079</v>
      </c>
      <c r="M3" t="s">
        <v>4</v>
      </c>
      <c r="N3" s="26">
        <f>(INDEX(N5:N18,MATCH(MAX(O6:O7),O5:O18,0))/0.85)</f>
        <v>0.58058823529411763</v>
      </c>
      <c r="O3" s="24">
        <f>(MAX(O6:O7)*0.75)</f>
        <v>6.584522857142856</v>
      </c>
      <c r="P3" s="45">
        <f>(O3*N3)</f>
        <v>3.8228965058823521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15.135323515191679</v>
      </c>
      <c r="K4" s="4">
        <f>(J4/D12-1)</f>
        <v>2.717358048684436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1.4547811399999999</v>
      </c>
      <c r="S5" s="23">
        <f>(T5/R5)</f>
        <v>4.8487681452895384</v>
      </c>
      <c r="T5" s="23">
        <f>(D5)+(B7)*4.615+(B8)*4.6733</f>
        <v>7.0538964499999999</v>
      </c>
    </row>
    <row r="6" spans="2:21">
      <c r="B6" s="2">
        <v>2.2775600000000001E-3</v>
      </c>
      <c r="C6" s="28">
        <v>0</v>
      </c>
      <c r="D6" s="29">
        <f>(B6*C6)</f>
        <v>0</v>
      </c>
      <c r="E6" s="23">
        <f>(B6*J3)</f>
        <v>2.2796437042208996E-2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2.2775600000000001E-3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0.53308934599999991</v>
      </c>
      <c r="O8" s="23">
        <f>($C$5*[1]Params!K10)</f>
        <v>10.492489598943161</v>
      </c>
      <c r="P8" s="23">
        <f>(O8*N8)</f>
        <v>5.5934344182124107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0.47805622799999997</v>
      </c>
      <c r="O9" s="23">
        <f>($C$5*[1]Params!K11)</f>
        <v>23.846567270325366</v>
      </c>
      <c r="P9" s="23">
        <f>(O9*N9)</f>
        <v>11.4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2.6925436596055885</v>
      </c>
      <c r="P11" s="23">
        <f>(SUM(P6:P9))</f>
        <v>24.03212688821241</v>
      </c>
      <c r="R11" s="1"/>
      <c r="S11" s="23"/>
      <c r="T11" s="23"/>
    </row>
    <row r="12" spans="2:21">
      <c r="B12">
        <f>(SUM(B5:B11))</f>
        <v>1.5121489100000001</v>
      </c>
      <c r="D12" s="23">
        <f>(SUM(D5:D11))</f>
        <v>4.0715269600000017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1.5121489100000001</v>
      </c>
      <c r="T24" s="23">
        <f>(SUM(T5:T23))</f>
        <v>4.0715269600000017</v>
      </c>
    </row>
  </sheetData>
  <conditionalFormatting sqref="C5 G11 O8: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0.92511554775654625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2.7053329734998757</v>
      </c>
      <c r="K4" s="4">
        <f>(J4/D10-1)</f>
        <v>-9.822234216670811E-2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2.890931587637116</v>
      </c>
      <c r="M3" t="s">
        <v>4</v>
      </c>
      <c r="N3" s="26">
        <f>(INDEX(N5:N16,MATCH(MAX(O6),O5:O16,0))/0.85)</f>
        <v>1.4035294117647059</v>
      </c>
      <c r="O3" s="24">
        <f>(MAX(O6)*0.75)</f>
        <v>2.1284581056160938</v>
      </c>
      <c r="P3" s="45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(B10*J3)</f>
        <v>13.795130316946974</v>
      </c>
      <c r="K4" s="4">
        <f>(J4/D10-1)</f>
        <v>0.4408451048915063</v>
      </c>
    </row>
    <row r="5" spans="2:17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1.7832609999999999E-2</v>
      </c>
      <c r="C6" s="28">
        <v>0</v>
      </c>
      <c r="D6" s="29">
        <f>(B6*C6)</f>
        <v>0</v>
      </c>
      <c r="E6" s="23">
        <f>(B6*J3)</f>
        <v>5.1552855539013509E-2</v>
      </c>
      <c r="M6" t="s">
        <v>11</v>
      </c>
      <c r="N6" s="1">
        <f>-B7</f>
        <v>1.1930000000000001</v>
      </c>
      <c r="O6" s="23">
        <f>P6/N6</f>
        <v>2.8379441408214583</v>
      </c>
      <c r="P6" s="23">
        <f>-D7</f>
        <v>3.3856673599999998</v>
      </c>
      <c r="Q6" t="s">
        <v>12</v>
      </c>
    </row>
    <row r="7" spans="2:17">
      <c r="B7" s="1">
        <v>-1.1930000000000001</v>
      </c>
      <c r="C7" s="24">
        <f>D7/B7</f>
        <v>2.8379441408214583</v>
      </c>
      <c r="D7" s="23">
        <f>-3.38566736</f>
        <v>-3.3856673599999998</v>
      </c>
      <c r="N7" s="1">
        <f>2*($B$10+$N$6)/5-$N$6</f>
        <v>1.1929453159999999</v>
      </c>
      <c r="O7" s="23">
        <f>($C$5*[1]Params!K9)</f>
        <v>3.4867820792880124</v>
      </c>
      <c r="P7" s="23">
        <f>(O7*N7)</f>
        <v>4.159540349399375</v>
      </c>
    </row>
    <row r="8" spans="2:17">
      <c r="N8" s="1">
        <f>2*($B$10+$N$6)/5-$N$6</f>
        <v>1.1929453159999999</v>
      </c>
      <c r="O8" s="23">
        <f>($C$5*[1]Params!K10)</f>
        <v>4.7943253590210171</v>
      </c>
      <c r="P8" s="23">
        <f>(O8*N8)</f>
        <v>5.7193679804241402</v>
      </c>
    </row>
    <row r="9" spans="2:17">
      <c r="F9" t="s">
        <v>9</v>
      </c>
      <c r="G9" s="23">
        <f>(D10/B10)</f>
        <v>2.0064138593542986</v>
      </c>
      <c r="N9" s="1">
        <f>2*($B$10+$N$6)/5-$N$6</f>
        <v>1.1929453159999999</v>
      </c>
      <c r="O9" s="23">
        <f>($C$5*[1]Params!K11)</f>
        <v>10.89619399777504</v>
      </c>
      <c r="P9" s="23">
        <f>(O9*N9)</f>
        <v>12.998563591873047</v>
      </c>
    </row>
    <row r="10" spans="2:17">
      <c r="B10" s="1">
        <f>(SUM(B5:B9))</f>
        <v>4.7718632900000006</v>
      </c>
      <c r="D10" s="23">
        <f>(SUM(D5:D9))</f>
        <v>9.5743326400000015</v>
      </c>
    </row>
    <row r="11" spans="2:17">
      <c r="P11" s="23">
        <f>(SUM(P6:P9))</f>
        <v>26.26313928169656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16.264821754002611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9.6011096430481615</v>
      </c>
      <c r="K4" s="4">
        <f>(J4/D11-1)</f>
        <v>33.481065683141516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2.37192E-3</v>
      </c>
      <c r="C6" s="28">
        <v>0</v>
      </c>
      <c r="D6" s="29">
        <f>(B6*C6)</f>
        <v>0</v>
      </c>
      <c r="E6" s="23">
        <f>(B6*J3)</f>
        <v>3.8578856014753873E-2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2.37192E-3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0.31591927999999991</v>
      </c>
      <c r="O9" s="23">
        <f>($C$5*[1]Params!K11)</f>
        <v>36.253387829805618</v>
      </c>
      <c r="P9" s="23">
        <f>(O9*N9)</f>
        <v>11.45314418075295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0.47170298921343401</v>
      </c>
      <c r="O10" s="23"/>
      <c r="P10" s="23"/>
      <c r="R10" s="1"/>
      <c r="S10" s="23"/>
      <c r="T10" s="23"/>
      <c r="U10" s="24"/>
    </row>
    <row r="11" spans="2:21">
      <c r="B11">
        <f>(SUM(B5:B10))</f>
        <v>0.59029909999999997</v>
      </c>
      <c r="C11" s="23"/>
      <c r="D11" s="23">
        <f>(SUM(D5:D10))</f>
        <v>0.27844584999999977</v>
      </c>
      <c r="O11" s="23"/>
      <c r="P11" s="23">
        <f>(SUM(P6:P9))</f>
        <v>21.104698330752949</v>
      </c>
      <c r="R11" s="1"/>
      <c r="S11" s="23"/>
      <c r="T11" s="24"/>
    </row>
    <row r="22" spans="18:20">
      <c r="R22">
        <f>(SUM(R5:R21))</f>
        <v>0.59029909999999985</v>
      </c>
      <c r="T22" s="23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76.032918230739085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12.478988621817654</v>
      </c>
      <c r="K4" s="4">
        <f>(J4/D15-1)</f>
        <v>0.25557313991593866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1.16854E-3</v>
      </c>
      <c r="C6" s="28">
        <v>0</v>
      </c>
      <c r="D6" s="29">
        <f>(B6*C6)</f>
        <v>0</v>
      </c>
      <c r="E6" s="23">
        <f>(B6*J3)</f>
        <v>8.8847506269347856E-2</v>
      </c>
      <c r="M6" t="s">
        <v>11</v>
      </c>
      <c r="N6" s="49">
        <f>(SUM(R$5:R$8)/5)</f>
        <v>3.2825226000000006E-2</v>
      </c>
      <c r="O6" s="23">
        <f>($C$7*[1]Params!K8)</f>
        <v>89.451451451451447</v>
      </c>
      <c r="P6" s="23">
        <f>(O6*N6)</f>
        <v>2.9362641099219222</v>
      </c>
      <c r="R6" s="2">
        <f>(B6)</f>
        <v>1.16854E-3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3.2825226000000006E-2</v>
      </c>
      <c r="O7" s="23">
        <f>($C$7*[1]Params!K9)</f>
        <v>110.09409409409409</v>
      </c>
      <c r="P7" s="23">
        <f>(O7*N7)</f>
        <v>3.6138635199039042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3.2825226000000006E-2</v>
      </c>
      <c r="O8" s="23">
        <f>($C$7*[1]Params!K10)</f>
        <v>151.37937937937937</v>
      </c>
      <c r="P8" s="23">
        <f>(O8*N8)</f>
        <v>4.9690623398678682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1.3264571371163798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3.2825226000000006E-2</v>
      </c>
      <c r="O9" s="23">
        <f>($C$7*[1]Params!K11)</f>
        <v>344.04404404404403</v>
      </c>
      <c r="P9" s="23">
        <f>(O9*N9)</f>
        <v>11.293323499699701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22.812513469393394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60.556343404916689</v>
      </c>
    </row>
    <row r="15" spans="2:21">
      <c r="B15" s="1">
        <f>(SUM(B5:B14))</f>
        <v>0.16412613000000001</v>
      </c>
      <c r="D15" s="23">
        <f>(SUM(D5:D14))</f>
        <v>9.9388782899999999</v>
      </c>
    </row>
    <row r="21" spans="18:20">
      <c r="R21">
        <f>(SUM(R5:R20))</f>
        <v>0.16412613000000004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0.86572237525309625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3.6039108192385898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5.6112269999999999E-2</v>
      </c>
      <c r="C6" s="28">
        <v>0</v>
      </c>
      <c r="D6" s="29">
        <f>(B6*C6)</f>
        <v>0</v>
      </c>
      <c r="E6" s="23">
        <f>(B6*J3)</f>
        <v>4.8577647665243057E-2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4.1628943900000008</v>
      </c>
      <c r="D22" s="23">
        <f>(SUM(D5:D21))</f>
        <v>-5.3974319099999999</v>
      </c>
    </row>
  </sheetData>
  <conditionalFormatting sqref="N6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N12">
    <cfRule type="cellIs" dxfId="131" priority="1" operator="greaterThan">
      <formula>$J$3</formula>
    </cfRule>
    <cfRule type="cellIs" dxfId="1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1.4315131571589451E-4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18.326714858537741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32005.844247547619</v>
      </c>
      <c r="P9" s="23">
        <f>(O9*N9)</f>
        <v>16.002922123773811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4868.6342562600003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4868.6342562600003</v>
      </c>
      <c r="C18" s="28">
        <v>0</v>
      </c>
      <c r="D18" s="29">
        <f>(B18*C18)</f>
        <v>0</v>
      </c>
      <c r="E18" s="23">
        <f>(B18*J3)</f>
        <v>0.69695139952309459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-8.8753815743854592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-21.472697357384178</v>
      </c>
    </row>
    <row r="39" spans="2:20">
      <c r="B39">
        <f>(SUM(B5:B38))</f>
        <v>128023.37699019047</v>
      </c>
      <c r="D39" s="23">
        <f>(SUM(D5:D38))</f>
        <v>-76.307382291799911</v>
      </c>
      <c r="F39" t="s">
        <v>9</v>
      </c>
      <c r="G39" s="33">
        <f>(D39/B39)</f>
        <v>-5.9604256726993542E-4</v>
      </c>
      <c r="R39">
        <f>(SUM(R5:R38))</f>
        <v>128023.37699019047</v>
      </c>
      <c r="T39" s="23">
        <f>(SUM(T5:T38))</f>
        <v>-76.307382291799911</v>
      </c>
    </row>
  </sheetData>
  <conditionalFormatting sqref="C5:C9 C14:C16 C25:C26 C28 C30 C32 C35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N6">
    <cfRule type="cellIs" dxfId="127" priority="11" operator="lessThan">
      <formula>$J$3</formula>
    </cfRule>
    <cfRule type="cellIs" dxfId="126" priority="12" operator="greaterThan">
      <formula>$J$3</formula>
    </cfRule>
  </conditionalFormatting>
  <conditionalFormatting sqref="N9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S5:S9 S13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G3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N12">
    <cfRule type="cellIs" dxfId="119" priority="1" operator="greaterThan">
      <formula>$J$3</formula>
    </cfRule>
    <cfRule type="cellIs" dxfId="11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0.99440416981719826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57.7464103867486</v>
      </c>
      <c r="K4" s="4">
        <f>(J4/D18-1)</f>
        <v>0.14199319739894278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0.32013902999999999</v>
      </c>
      <c r="C6" s="28">
        <v>0</v>
      </c>
      <c r="D6" s="29">
        <f>(B6*C6)</f>
        <v>0</v>
      </c>
      <c r="E6" s="23">
        <f>(B6*J3)</f>
        <v>0.31834758635323313</v>
      </c>
      <c r="M6" t="s">
        <v>11</v>
      </c>
      <c r="N6" s="19">
        <f>($B$7+$R$9+$R$6)/5</f>
        <v>8.9395777957777778</v>
      </c>
      <c r="O6" s="23">
        <f>($S$7*[1]Params!K8)</f>
        <v>1.1975720777093433</v>
      </c>
      <c r="P6" s="23">
        <f>(O6*N6)</f>
        <v>10.705788754733904</v>
      </c>
      <c r="R6" s="47">
        <f>(B6)</f>
        <v>0.32013902999999999</v>
      </c>
      <c r="S6" s="28">
        <v>0</v>
      </c>
      <c r="T6" s="29">
        <f>(D6)</f>
        <v>0</v>
      </c>
      <c r="U6" s="23">
        <f>(R6*J3)</f>
        <v>0.31834758635323313</v>
      </c>
    </row>
    <row r="7" spans="2:21">
      <c r="B7" s="19">
        <v>43.746844950000003</v>
      </c>
      <c r="C7" s="23">
        <f t="shared" ref="C7:C14" si="0">(D7/B7)</f>
        <v>0.92120929054564871</v>
      </c>
      <c r="D7" s="23">
        <v>40.299999999999997</v>
      </c>
      <c r="E7" t="s">
        <v>15</v>
      </c>
      <c r="N7" s="19">
        <f>($B$7+$R$9+$R$6)/5</f>
        <v>8.9395777957777778</v>
      </c>
      <c r="O7" s="23">
        <f>($S$7*[1]Params!K9)</f>
        <v>1.4739348648730379</v>
      </c>
      <c r="P7" s="23">
        <f>(O7*N7)</f>
        <v>13.17635539044173</v>
      </c>
      <c r="R7" s="19">
        <f>B7</f>
        <v>43.746844950000003</v>
      </c>
      <c r="S7" s="23">
        <f>(T7/R7)</f>
        <v>0.92120929054564871</v>
      </c>
      <c r="T7" s="23">
        <f>D7</f>
        <v>40.299999999999997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8.9395777957777778</v>
      </c>
      <c r="O8" s="23">
        <f>($S$7*[1]Params!K10)</f>
        <v>2.0266604392004273</v>
      </c>
      <c r="P8" s="23">
        <f>(O8*N8)</f>
        <v>18.117488661857379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8.9395777957777778</v>
      </c>
      <c r="O9" s="23">
        <f>($C$7*[1]Params!K11)</f>
        <v>4.6060464527282434</v>
      </c>
      <c r="P9" s="23">
        <f>(O9*N9)</f>
        <v>41.176110595130403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83.17574340216342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0.87076190303243461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58.071367900000006</v>
      </c>
      <c r="S17" s="23"/>
      <c r="T17" s="23">
        <f>(SUM(T5:T12))</f>
        <v>50.56633482430064</v>
      </c>
    </row>
    <row r="18" spans="2:20">
      <c r="B18" s="19">
        <f>(SUM(B5:B17))</f>
        <v>58.071367900000006</v>
      </c>
      <c r="D18" s="23">
        <f>(SUM(D5:D17))</f>
        <v>50.56633482430064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1" width="9.140625" style="14" customWidth="1"/>
    <col min="142" max="16384" width="9.140625" style="14"/>
  </cols>
  <sheetData>
    <row r="3" spans="2:16">
      <c r="I3" t="s">
        <v>3</v>
      </c>
      <c r="J3" s="45">
        <v>2.768158074048338E-2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1.7937413231286965</v>
      </c>
      <c r="K4" s="4">
        <f>(J4/D10-1)</f>
        <v>-0.10312933843565175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5.035953E-2</v>
      </c>
      <c r="C6" s="28">
        <v>0</v>
      </c>
      <c r="D6" s="29">
        <f>(B6*C6)</f>
        <v>0</v>
      </c>
      <c r="E6" s="23">
        <f>(B6*J3)</f>
        <v>1.394031395747795E-3</v>
      </c>
      <c r="M6" t="s">
        <v>11</v>
      </c>
      <c r="N6" s="35">
        <f>($B$10/5)</f>
        <v>12.959818587999999</v>
      </c>
      <c r="O6" s="45">
        <f>($C$5*[1]Params!K8)</f>
        <v>4.0155225640266315E-2</v>
      </c>
      <c r="P6" s="23">
        <f>(O6*N6)</f>
        <v>0.5204044396580576</v>
      </c>
    </row>
    <row r="7" spans="2:16">
      <c r="B7" s="35"/>
      <c r="C7" s="23"/>
      <c r="D7" s="25"/>
      <c r="E7" s="23"/>
      <c r="N7" s="35">
        <f>($B$10/5)</f>
        <v>12.959818587999999</v>
      </c>
      <c r="O7" s="45">
        <f>($C$5*[1]Params!K9)</f>
        <v>4.9421816172635469E-2</v>
      </c>
      <c r="P7" s="23">
        <f>(O7*N7)</f>
        <v>0.64049777188684009</v>
      </c>
    </row>
    <row r="8" spans="2:16">
      <c r="N8" s="35">
        <f>($B$10/5)</f>
        <v>12.959818587999999</v>
      </c>
      <c r="O8" s="45">
        <f>($C$5*[1]Params!K10)</f>
        <v>6.7954997237373763E-2</v>
      </c>
      <c r="P8" s="23">
        <f>(O8*N8)</f>
        <v>0.88068443634440507</v>
      </c>
    </row>
    <row r="9" spans="2:16">
      <c r="F9" t="s">
        <v>9</v>
      </c>
      <c r="G9" s="23">
        <f>(D10/B10)</f>
        <v>3.0864629568995324E-2</v>
      </c>
      <c r="N9" s="35">
        <f>($B$10/5)</f>
        <v>12.959818587999999</v>
      </c>
      <c r="O9" s="45">
        <f>($C$5*[1]Params!K11)</f>
        <v>0.15444317553948583</v>
      </c>
      <c r="P9" s="23">
        <f>(O9*N9)</f>
        <v>2.0015555371463751</v>
      </c>
    </row>
    <row r="10" spans="2:16">
      <c r="B10" s="35">
        <f>(SUM(B5:B9))</f>
        <v>64.799092939999994</v>
      </c>
      <c r="D10" s="23">
        <f>(SUM(D5:D9))</f>
        <v>2</v>
      </c>
    </row>
    <row r="11" spans="2:16">
      <c r="P11" s="23">
        <f>(SUM(P6:P9))</f>
        <v>4.0431421850356779</v>
      </c>
    </row>
    <row r="22" spans="10:10">
      <c r="J22" s="26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1.282529355141012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42.305590157840378</v>
      </c>
      <c r="K4" s="4">
        <f>(J4/D11-1)</f>
        <v>2.1066275090420414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0.33735991999999998</v>
      </c>
      <c r="C6" s="28">
        <v>0</v>
      </c>
      <c r="D6" s="29">
        <f>(B6*C6)</f>
        <v>0</v>
      </c>
      <c r="E6" s="23">
        <f>(B6*J3)</f>
        <v>0.43267400064802336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0.43267400064802336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3.0537023945907493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10.999635952</v>
      </c>
      <c r="O8" s="23">
        <f>($C$5*[1]Params!K10)</f>
        <v>1.6670207492387226</v>
      </c>
      <c r="P8" s="23">
        <f>(O8*N8)</f>
        <v>18.336621366056228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10.999635952</v>
      </c>
      <c r="O9" s="23">
        <f>($C$5*[1]Params!K11)</f>
        <v>3.7886835209970964</v>
      </c>
      <c r="P9" s="23">
        <f>(O9*N9)</f>
        <v>41.674139468309612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0.4128365410426989</v>
      </c>
      <c r="R10" s="1"/>
      <c r="S10" s="23"/>
      <c r="T10" s="23"/>
      <c r="V10" s="24"/>
    </row>
    <row r="11" spans="2:22">
      <c r="B11" s="35">
        <f>(SUM(B5:B10))</f>
        <v>32.986059919999995</v>
      </c>
      <c r="D11" s="23">
        <f>(SUM(D5:D10))</f>
        <v>13.617850880000002</v>
      </c>
      <c r="P11" s="23">
        <f>(SUM(P6:P9))</f>
        <v>85.982909954365851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99" priority="9" operator="lessThan">
      <formula>$J$3</formula>
    </cfRule>
    <cfRule type="cellIs" dxfId="98" priority="10" operator="greaterThan">
      <formula>$J$3</formula>
    </cfRule>
  </conditionalFormatting>
  <conditionalFormatting sqref="O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3.746544187797566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37.381589575808277</v>
      </c>
      <c r="K4" s="4">
        <f>(J4/D25-1)</f>
        <v>-17.159272633597475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22.613660530000001</v>
      </c>
      <c r="C6" s="23">
        <f>(D6/B6)</f>
        <v>1.7821086482896804</v>
      </c>
      <c r="D6" s="23">
        <v>40.299999999999997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8.9636605299999985</v>
      </c>
      <c r="S6" s="23">
        <f>(T6/R6)</f>
        <v>1.8130617447646693</v>
      </c>
      <c r="T6" s="23">
        <f>D6+B19*1.74+B21*1.7718+B23*1.7718</f>
        <v>16.251669999999997</v>
      </c>
      <c r="U6" s="23" t="str">
        <f>(E6)</f>
        <v>DCA2</v>
      </c>
    </row>
    <row r="7" spans="2:22">
      <c r="B7" s="2">
        <v>0.1007483</v>
      </c>
      <c r="C7" s="28">
        <v>0</v>
      </c>
      <c r="D7" s="29">
        <v>0</v>
      </c>
      <c r="E7" s="24">
        <f>B7*J3</f>
        <v>0.37745795779548552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0.1007483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0.64365878043265723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0.62058296099518917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4.6301792799999966</v>
      </c>
      <c r="O17" s="23">
        <f>($S$6*[1]Params!K11)</f>
        <v>9.0653087238233461</v>
      </c>
      <c r="P17" s="23">
        <f>(O17*N17)</f>
        <v>41.974004619850071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84.07459304985008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-0.23185104136481718</v>
      </c>
      <c r="S24" s="23"/>
      <c r="T24" s="23"/>
    </row>
    <row r="25" spans="2:20">
      <c r="B25" s="1">
        <f>(SUM(B5:B24))</f>
        <v>9.9776187606593592</v>
      </c>
      <c r="C25" s="23"/>
      <c r="D25" s="23">
        <f>(SUM(D5:D24))</f>
        <v>-2.313321300000009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9.9776187606593627</v>
      </c>
      <c r="S28" s="23"/>
      <c r="T28" s="23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" sqref="O3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62" width="9.140625" style="14" customWidth="1"/>
    <col min="16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0.45190991523061053</v>
      </c>
      <c r="M3" t="s">
        <v>4</v>
      </c>
      <c r="N3" s="35">
        <f>(INDEX(N5:N22,MATCH(MAX(O6:O7),O5:O22,0))/0.85)</f>
        <v>2.2311764705882355</v>
      </c>
      <c r="O3" s="24">
        <f>(MAX(O6:O7)*0.75)</f>
        <v>0.27749999999999997</v>
      </c>
      <c r="P3" s="23">
        <f>(O3*N3)</f>
        <v>0.61915147058823528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2.5721648127075984</v>
      </c>
      <c r="K4" s="4">
        <f>(J4/D14-1)</f>
        <v>1.840975280004352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7.5109800000000004E-2</v>
      </c>
      <c r="C6" s="28">
        <v>0</v>
      </c>
      <c r="D6" s="28">
        <f>(B6*C6)</f>
        <v>0</v>
      </c>
      <c r="E6" s="23">
        <f>(B6*J3)</f>
        <v>3.394286335098811E-2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7.5109800000000004E-2</v>
      </c>
      <c r="S6" s="28">
        <v>0</v>
      </c>
      <c r="T6" s="28">
        <f>(D6)</f>
        <v>0</v>
      </c>
      <c r="U6" s="23">
        <f>(E6)</f>
        <v>3.394286335098811E-2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1.8969529000000001</v>
      </c>
      <c r="O8" s="23">
        <f>($C$5*[1]Params!K10)</f>
        <v>0.51436531459544421</v>
      </c>
      <c r="P8" s="23">
        <f>(O8*N8)</f>
        <v>0.97572677518124029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1.8969529000000001</v>
      </c>
      <c r="O9" s="23">
        <f>($C$5*[1]Params!K11)</f>
        <v>1.1690120786260096</v>
      </c>
      <c r="P9" s="23">
        <f>(O9*N9)</f>
        <v>2.2175608526846369</v>
      </c>
      <c r="Q9" s="24"/>
    </row>
    <row r="10" spans="2:21">
      <c r="B10" s="35"/>
      <c r="C10" s="23"/>
      <c r="D10" s="23"/>
    </row>
    <row r="12" spans="2:21">
      <c r="P12" s="23">
        <f>(SUM(P6:P9))</f>
        <v>4.4639426278658778</v>
      </c>
    </row>
    <row r="13" spans="2:21">
      <c r="F13" t="s">
        <v>9</v>
      </c>
      <c r="G13" s="23">
        <f>(D14/B14)</f>
        <v>0.15906858409198066</v>
      </c>
    </row>
    <row r="14" spans="2:21">
      <c r="B14" s="35">
        <f>(SUM(B5:B13))</f>
        <v>5.6917645000000006</v>
      </c>
      <c r="D14" s="23">
        <f>(SUM(D5:D13))</f>
        <v>0.90538092000000026</v>
      </c>
    </row>
    <row r="17" spans="11:20">
      <c r="N17" s="35"/>
      <c r="R17" s="35">
        <f>(SUM(R5:R16))</f>
        <v>9.4847645000000007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8: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41" sqref="X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1.059536233843253E-5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4.6597410778975155</v>
      </c>
      <c r="K4" s="4">
        <f>(J4/D13-1)</f>
        <v>-7.3610123678426342E-2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258.95</v>
      </c>
      <c r="C6" s="28">
        <v>0</v>
      </c>
      <c r="D6" s="29">
        <f>(B6*C6)</f>
        <v>0</v>
      </c>
      <c r="E6" s="23">
        <f>(B6*J3)</f>
        <v>2.7436690775371037E-3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1.143726049825118E-5</v>
      </c>
    </row>
    <row r="13" spans="2:16">
      <c r="B13">
        <f>(SUM(B5:B12))</f>
        <v>439790.63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4.8922114611861123E-3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2.9323915498349558</v>
      </c>
      <c r="K4" s="4">
        <f>(J4/D10-1)</f>
        <v>-2.2536150055014748E-2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O3" sqref="O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101.0295939533942</v>
      </c>
      <c r="M3" t="s">
        <v>4</v>
      </c>
      <c r="N3" s="26">
        <f>(INDEX(N5:N26,MATCH(MAX(O6:O9,O23:O25,O14:O17),O5:O26,0))/0.85)</f>
        <v>1.4470588235294117</v>
      </c>
      <c r="O3" s="24">
        <f>(MAX(O14:O17,O23:O25,O6:O9)*0.75)</f>
        <v>83.37837707926829</v>
      </c>
      <c r="P3" s="23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(B46*J3)</f>
        <v>267.12480458312274</v>
      </c>
      <c r="K4" s="4">
        <f>(J4/D46-1)</f>
        <v>-3.8516295674157464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0.21216214730212779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1.2268769399999999</v>
      </c>
      <c r="S13" s="23">
        <f>(T13/R13)</f>
        <v>24.930250963882322</v>
      </c>
      <c r="T13" s="23">
        <f>(D17+11.97*B21+B37*19.42078-N16*19.42078-N17*20.2879)</f>
        <v>30.586350015999994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0.62244464173158798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6.2983490000000003E-2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5.3321197037535142E-2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0.77203299000000014</v>
      </c>
      <c r="S15" s="23">
        <f>(T15/R15)</f>
        <v>23.979413625834816</v>
      </c>
      <c r="T15" s="23">
        <f>(D19+12.6*B22+20.2393*B39-20.2393*N25)</f>
        <v>18.512898399999997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6.05057694</v>
      </c>
      <c r="C17" s="23">
        <f>(D17/B17)</f>
        <v>20.368305571865019</v>
      </c>
      <c r="D17" s="23">
        <v>123.24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6.2983490000000003E-2</v>
      </c>
      <c r="C18" s="28">
        <v>0</v>
      </c>
      <c r="D18" s="29">
        <v>0</v>
      </c>
      <c r="E18" s="24">
        <f>B18*J3</f>
        <v>6.3631964204676645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1.87547299</v>
      </c>
      <c r="C19" s="23">
        <f t="shared" ref="C19:C32" si="1">(D19/B19)</f>
        <v>21.487912763808982</v>
      </c>
      <c r="D19" s="23">
        <v>40.299999999999997</v>
      </c>
      <c r="E19" t="s">
        <v>15</v>
      </c>
      <c r="O19" s="23"/>
      <c r="P19" s="23">
        <f>(SUM(P14:P17))</f>
        <v>264.01526285023039</v>
      </c>
      <c r="R19" s="26">
        <f>(B26+B27)+B43+B44</f>
        <v>5.9467390000000009E-2</v>
      </c>
      <c r="S19" s="23">
        <v>0</v>
      </c>
      <c r="T19" s="23">
        <f>(D26+D27)+D43+D44</f>
        <v>-2.6994419700000023</v>
      </c>
      <c r="U19" t="s">
        <v>86</v>
      </c>
      <c r="V19" s="24">
        <f>-T19+R19*$J$3</f>
        <v>8.7074082351681383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4.3997525560107444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5.0088204170156345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38.367061801335709</v>
      </c>
      <c r="P24" s="23">
        <f>(O24*N24)</f>
        <v>24.93859017086821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4*($B$19+R19)/5-$N$25-N24-N23</f>
        <v>0.44451230400000014</v>
      </c>
      <c r="O26" s="23">
        <f>($S$15*[1]Params!K11)</f>
        <v>119.89706812917407</v>
      </c>
      <c r="P26" s="23">
        <f>O26*N26</f>
        <v>53.295721996944152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97.298354527581992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4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B44" s="26">
        <v>0.42808296000000001</v>
      </c>
      <c r="C44" s="23">
        <f t="shared" si="2"/>
        <v>101.61581764431828</v>
      </c>
      <c r="D44" s="23">
        <v>43.5</v>
      </c>
      <c r="E44" s="23"/>
      <c r="S44" s="23"/>
      <c r="T44" s="23"/>
    </row>
    <row r="45" spans="2:23">
      <c r="C45" s="23"/>
      <c r="D45" s="23"/>
      <c r="E45" s="23"/>
      <c r="S45" s="23"/>
      <c r="T45" s="23"/>
    </row>
    <row r="46" spans="2:23">
      <c r="B46" s="26">
        <f>(SUM(B5:B45))</f>
        <v>2.644025321</v>
      </c>
      <c r="C46" s="23"/>
      <c r="D46" s="23">
        <f>(SUM(D5:D45))</f>
        <v>-93.674440620000041</v>
      </c>
      <c r="E46" s="23"/>
      <c r="F46" t="s">
        <v>9</v>
      </c>
      <c r="G46" s="23">
        <f>(D46/B46)</f>
        <v>-35.428722968723811</v>
      </c>
      <c r="R46" s="26">
        <f>(SUM(R5:R36))</f>
        <v>2.644025321</v>
      </c>
      <c r="S46" s="23"/>
      <c r="T46" s="23">
        <f>(SUM(T5:T36))</f>
        <v>-93.676440489769632</v>
      </c>
      <c r="V46" t="s">
        <v>9</v>
      </c>
      <c r="W46" s="23">
        <f>(T46/R46)</f>
        <v>-35.429479341877162</v>
      </c>
    </row>
    <row r="47" spans="2:23">
      <c r="M47" s="26"/>
      <c r="S47" s="23"/>
      <c r="T47" s="23"/>
    </row>
    <row r="50" spans="14:14">
      <c r="N50" s="26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0.1052615286571439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0.98422441249358328</v>
      </c>
      <c r="K4" s="4">
        <f>(J4/D13-1)</f>
        <v>0.96844882498716656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0.24901827000000001</v>
      </c>
      <c r="C6" s="28">
        <v>0</v>
      </c>
      <c r="D6" s="29">
        <f>(B6*C6)</f>
        <v>0</v>
      </c>
      <c r="E6" s="23">
        <f>(B6*J3)</f>
        <v>2.6212043763757398E-2</v>
      </c>
      <c r="G6" s="23"/>
      <c r="M6" t="s">
        <v>11</v>
      </c>
      <c r="N6" s="19">
        <f>($B$13/5)</f>
        <v>1.8700553280000001</v>
      </c>
      <c r="O6" s="45">
        <f>($C$5*[1]Params!K8)</f>
        <v>7.1418695478700056E-2</v>
      </c>
      <c r="P6" s="23">
        <f>(O6*N6)</f>
        <v>0.13355691199875255</v>
      </c>
      <c r="Q6" s="23">
        <f>N6*$J$3</f>
        <v>0.19684488249871665</v>
      </c>
    </row>
    <row r="7" spans="2:17">
      <c r="C7" s="23"/>
      <c r="D7" s="23"/>
      <c r="E7" s="23"/>
      <c r="G7" s="23"/>
      <c r="N7" s="19">
        <f>($B$13/5)</f>
        <v>1.8700553280000001</v>
      </c>
      <c r="O7" s="45">
        <f>($C$5*[1]Params!K9)</f>
        <v>8.7899932896861599E-2</v>
      </c>
      <c r="P7" s="23">
        <f>(O7*N7)</f>
        <v>0.16437773784461851</v>
      </c>
      <c r="Q7" s="23">
        <f>Q6*2</f>
        <v>0.3936897649974333</v>
      </c>
    </row>
    <row r="8" spans="2:17">
      <c r="C8" s="23"/>
      <c r="D8" s="23"/>
      <c r="E8" s="23"/>
      <c r="G8" s="23"/>
      <c r="N8" s="19">
        <f>($B$13/5)</f>
        <v>1.8700553280000001</v>
      </c>
      <c r="O8" s="45">
        <f>($C$5*[1]Params!K10)</f>
        <v>0.12086240773318471</v>
      </c>
      <c r="P8" s="23">
        <f>(O8*N8)</f>
        <v>0.22601938953635048</v>
      </c>
      <c r="Q8" s="23">
        <f>Q6*3</f>
        <v>0.59053464749614992</v>
      </c>
    </row>
    <row r="9" spans="2:17">
      <c r="C9" s="23"/>
      <c r="D9" s="23"/>
      <c r="E9" s="23"/>
      <c r="G9" s="23"/>
      <c r="N9" s="19">
        <f>($B$13/5)</f>
        <v>1.8700553280000001</v>
      </c>
      <c r="O9" s="45">
        <f>($C$5*[1]Params!K11)</f>
        <v>0.27468729030269251</v>
      </c>
      <c r="P9" s="23">
        <f>(O9*N9)</f>
        <v>0.51368043076443293</v>
      </c>
      <c r="Q9" s="23">
        <f>Q6*4</f>
        <v>0.7873795299948666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1.0376344701441544</v>
      </c>
    </row>
    <row r="12" spans="2:17">
      <c r="C12" s="23"/>
      <c r="D12" s="23"/>
      <c r="E12" s="23"/>
      <c r="F12" t="s">
        <v>9</v>
      </c>
      <c r="G12" s="23">
        <f>(D13/B13)</f>
        <v>5.347435367431011E-2</v>
      </c>
    </row>
    <row r="13" spans="2:17">
      <c r="B13">
        <f>(SUM(B5:B12))</f>
        <v>9.3502766400000006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7.9786240734664799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13.934562105188881</v>
      </c>
      <c r="K4" s="4">
        <f>(J4/D10-1)</f>
        <v>0.56500250460930812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2.60371E-3</v>
      </c>
      <c r="C6" s="28">
        <v>0</v>
      </c>
      <c r="D6" s="28">
        <f>(B6*C6)</f>
        <v>0</v>
      </c>
      <c r="E6" s="23">
        <f>(B6*J3)</f>
        <v>2.0774023286325407E-2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2.60371E-3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0.45319474399999998</v>
      </c>
      <c r="O7" s="45">
        <f>($C$5*[1]Params!K9)</f>
        <v>8.9182731538402358</v>
      </c>
      <c r="P7" s="23">
        <f>(O7*N7)</f>
        <v>4.0417145188766979</v>
      </c>
      <c r="R7" s="26">
        <f>B7-B7</f>
        <v>0</v>
      </c>
      <c r="S7" s="23">
        <v>0</v>
      </c>
      <c r="T7" s="23">
        <f>D7-B7*5.49217</f>
        <v>-0.8498431700000002</v>
      </c>
      <c r="U7" t="s">
        <v>100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5.0981541882313399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1.7464868599999999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24.417855218876699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2.1554868599999999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0.63082159592121745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19.539558355067065</v>
      </c>
      <c r="K4" s="4">
        <f>(J4/D14-1)</f>
        <v>7.356729506501841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54.38205155</v>
      </c>
      <c r="S5" s="23">
        <f>(T5/R5)</f>
        <v>0.35121882046761438</v>
      </c>
      <c r="T5" s="23">
        <f>(SUM(D5:D7))</f>
        <v>19.100000000000001</v>
      </c>
    </row>
    <row r="6" spans="2:21">
      <c r="B6" s="20">
        <v>0.80704008000000005</v>
      </c>
      <c r="C6" s="28">
        <v>0</v>
      </c>
      <c r="D6" s="28">
        <f>(B6*C6)</f>
        <v>0</v>
      </c>
      <c r="E6" s="23">
        <f>(B6*J3)</f>
        <v>0.50909831123798699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10.324925716666669</v>
      </c>
      <c r="O8" s="23">
        <f>($C$5*[1]Params!K10)</f>
        <v>0.78521945271816052</v>
      </c>
      <c r="P8" s="23">
        <f>(O8*N8)</f>
        <v>8.107332520596664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10.324925716666669</v>
      </c>
      <c r="O9" s="23">
        <f>($C$5*[1]Params!K11)</f>
        <v>1.7845896652685465</v>
      </c>
      <c r="P9" s="23">
        <f>(O9*N9)</f>
        <v>18.425755728628779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40.371384019225445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7.5486659635257455E-2</v>
      </c>
    </row>
    <row r="14" spans="2:21">
      <c r="B14" s="19">
        <f>(SUM(B5:B13))</f>
        <v>30.974777150000008</v>
      </c>
      <c r="D14" s="23">
        <f>(SUM(D5:D13))</f>
        <v>2.3381824600000005</v>
      </c>
    </row>
    <row r="18" spans="12:20">
      <c r="R18">
        <f>(SUM(R5:R17))</f>
        <v>30.974777150000008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O9" sqref="O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25" width="9.140625" style="14" customWidth="1"/>
    <col min="126" max="16384" width="9.140625" style="14"/>
  </cols>
  <sheetData>
    <row r="3" spans="2:21">
      <c r="I3" t="s">
        <v>3</v>
      </c>
      <c r="J3" s="45">
        <v>11.8630968374056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11.109794696207143</v>
      </c>
      <c r="K4" s="4">
        <f>(J4/D14-1)</f>
        <v>-7.4083467691738014E-2</v>
      </c>
      <c r="R4" t="s">
        <v>5</v>
      </c>
      <c r="S4" t="s">
        <v>6</v>
      </c>
      <c r="T4" t="s">
        <v>7</v>
      </c>
    </row>
    <row r="5" spans="2:21">
      <c r="B5" s="1">
        <v>0.93620493000000005</v>
      </c>
      <c r="C5" s="23">
        <f>(D5/B5)</f>
        <v>12.816317897407353</v>
      </c>
      <c r="D5" s="23">
        <v>11.998699999999999</v>
      </c>
      <c r="E5" t="s">
        <v>101</v>
      </c>
      <c r="N5" t="s">
        <v>32</v>
      </c>
      <c r="O5" t="s">
        <v>1</v>
      </c>
      <c r="P5" t="s">
        <v>2</v>
      </c>
      <c r="R5" s="19">
        <f>B5</f>
        <v>0.93620493000000005</v>
      </c>
      <c r="S5" s="23">
        <f>(T5/R5)</f>
        <v>12.816317897407353</v>
      </c>
      <c r="T5" s="23">
        <f>D5</f>
        <v>11.998699999999999</v>
      </c>
    </row>
    <row r="6" spans="2:21">
      <c r="B6" s="2">
        <v>2.9545E-4</v>
      </c>
      <c r="C6" s="28">
        <v>0</v>
      </c>
      <c r="D6" s="28">
        <f>(B6*C6)</f>
        <v>0</v>
      </c>
      <c r="E6" s="23">
        <f>(B6*J3)</f>
        <v>3.5049519606114845E-3</v>
      </c>
      <c r="M6" t="s">
        <v>11</v>
      </c>
      <c r="N6" s="19">
        <f>(B$14/5)</f>
        <v>0.18730007600000001</v>
      </c>
      <c r="O6" s="23">
        <f>($C$5*[1]Params!K8)</f>
        <v>16.661213266629559</v>
      </c>
      <c r="P6" s="23">
        <f>(O6*N6)</f>
        <v>3.120646511091925</v>
      </c>
      <c r="R6" s="19">
        <f>(B6)</f>
        <v>2.9545E-4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0.18730007600000001</v>
      </c>
      <c r="O7" s="23">
        <f>($C$5*[1]Params!K9)</f>
        <v>20.506108635851767</v>
      </c>
      <c r="P7" s="23">
        <f>(O7*N7)</f>
        <v>3.8407957059592923</v>
      </c>
      <c r="R7" s="19"/>
      <c r="S7" s="23"/>
      <c r="T7" s="24"/>
      <c r="U7" s="24"/>
    </row>
    <row r="8" spans="2:21">
      <c r="C8" s="23"/>
      <c r="D8" s="23"/>
      <c r="N8" s="19">
        <f>(B$14/5)</f>
        <v>0.18730007600000001</v>
      </c>
      <c r="O8" s="23">
        <f>($C$5*[1]Params!K10)</f>
        <v>28.195899374296179</v>
      </c>
      <c r="P8" s="23">
        <f>(O8*N8)</f>
        <v>5.2810940956940273</v>
      </c>
      <c r="R8" s="19"/>
      <c r="S8" s="24"/>
      <c r="T8" s="24"/>
    </row>
    <row r="9" spans="2:21">
      <c r="C9" s="24"/>
      <c r="D9" s="23"/>
      <c r="N9" s="19">
        <f>(B$14/5)</f>
        <v>0.18730007600000001</v>
      </c>
      <c r="O9" s="23">
        <f>($C$5*[1]Params!K11)</f>
        <v>64.081589487036766</v>
      </c>
      <c r="P9" s="23">
        <f>(O9*N9)</f>
        <v>12.002486581122788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24.245022893868033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12.812274566295423</v>
      </c>
    </row>
    <row r="14" spans="2:21">
      <c r="B14" s="19">
        <f>(SUM(B5:B13))</f>
        <v>0.93650038000000002</v>
      </c>
      <c r="D14" s="23">
        <f>(SUM(D5:D13))</f>
        <v>11.998699999999999</v>
      </c>
    </row>
    <row r="18" spans="12:20">
      <c r="R18">
        <f>(SUM(R5:R17))</f>
        <v>0.93650038000000002</v>
      </c>
      <c r="T18" s="23">
        <f>(SUM(T5:T17))</f>
        <v>11.998699999999999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25" width="9.140625" style="14" customWidth="1"/>
    <col min="126" max="16384" width="9.140625" style="14"/>
  </cols>
  <sheetData>
    <row r="3" spans="2:21">
      <c r="I3" t="s">
        <v>3</v>
      </c>
      <c r="J3" s="45">
        <v>3.196313127551702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10.396306343745398</v>
      </c>
      <c r="K4" s="4">
        <f>(J4/D14-1)</f>
        <v>3.9807401632817374E-2</v>
      </c>
      <c r="R4" t="s">
        <v>5</v>
      </c>
      <c r="S4" t="s">
        <v>6</v>
      </c>
      <c r="T4" t="s">
        <v>7</v>
      </c>
    </row>
    <row r="5" spans="2:21">
      <c r="B5" s="35">
        <v>3.2525424799999998</v>
      </c>
      <c r="C5" s="23">
        <f>(D5/B5)</f>
        <v>3.0739952088189177</v>
      </c>
      <c r="D5" s="23">
        <v>9.9983000000000004</v>
      </c>
      <c r="E5" t="s">
        <v>101</v>
      </c>
      <c r="N5" t="s">
        <v>32</v>
      </c>
      <c r="O5" t="s">
        <v>1</v>
      </c>
      <c r="P5" t="s">
        <v>2</v>
      </c>
      <c r="R5" s="19">
        <f>B5</f>
        <v>3.2525424799999998</v>
      </c>
      <c r="S5" s="23">
        <f>(T5/R5)</f>
        <v>3.0739952088189177</v>
      </c>
      <c r="T5" s="23">
        <f>D5</f>
        <v>9.9983000000000004</v>
      </c>
    </row>
    <row r="6" spans="2:21">
      <c r="B6" s="47">
        <v>5.0720000000000002E-5</v>
      </c>
      <c r="C6" s="28">
        <v>0</v>
      </c>
      <c r="D6" s="28">
        <f>(B6*C6)</f>
        <v>0</v>
      </c>
      <c r="E6" s="23">
        <f>(B6*J3)</f>
        <v>1.6211700182942234E-4</v>
      </c>
      <c r="M6" t="s">
        <v>11</v>
      </c>
      <c r="N6" s="19">
        <f>(B$14/5)</f>
        <v>0.65051863999999993</v>
      </c>
      <c r="O6" s="23">
        <f>($C$5*[1]Params!K8)</f>
        <v>3.9961937714645934</v>
      </c>
      <c r="P6" s="23">
        <f>(O6*N6)</f>
        <v>2.599598537389618</v>
      </c>
      <c r="R6" s="19">
        <f>(B6)</f>
        <v>5.0720000000000002E-5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0.65051863999999993</v>
      </c>
      <c r="O7" s="23">
        <f>($C$5*[1]Params!K9)</f>
        <v>4.9183923341102691</v>
      </c>
      <c r="P7" s="23">
        <f>(O7*N7)</f>
        <v>3.1995058921718376</v>
      </c>
      <c r="R7" s="19"/>
      <c r="S7" s="23"/>
      <c r="T7" s="24"/>
      <c r="U7" s="24"/>
    </row>
    <row r="8" spans="2:21">
      <c r="C8" s="23"/>
      <c r="D8" s="23"/>
      <c r="N8" s="19">
        <f>(B$14/5)</f>
        <v>0.65051863999999993</v>
      </c>
      <c r="O8" s="23">
        <f>($C$5*[1]Params!K10)</f>
        <v>6.7627894594016196</v>
      </c>
      <c r="P8" s="23">
        <f>(O8*N8)</f>
        <v>4.3993206017362763</v>
      </c>
      <c r="R8" s="19"/>
      <c r="S8" s="24"/>
      <c r="T8" s="24"/>
    </row>
    <row r="9" spans="2:21">
      <c r="C9" s="24"/>
      <c r="D9" s="23"/>
      <c r="N9" s="19">
        <f>(B$14/5)</f>
        <v>0.65051863999999993</v>
      </c>
      <c r="O9" s="23">
        <f>($C$5*[1]Params!K11)</f>
        <v>15.369976044094589</v>
      </c>
      <c r="P9" s="23">
        <f>(O9*N9)</f>
        <v>9.9984559130369899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20.196880944334723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3.0739472738244675</v>
      </c>
    </row>
    <row r="14" spans="2:21">
      <c r="B14" s="19">
        <f>(SUM(B5:B13))</f>
        <v>3.2525931999999997</v>
      </c>
      <c r="D14" s="23">
        <f>(SUM(D5:D13))</f>
        <v>9.9983000000000004</v>
      </c>
    </row>
    <row r="18" spans="12:20">
      <c r="R18">
        <f>(SUM(R5:R17))</f>
        <v>3.2525931999999997</v>
      </c>
      <c r="T18" s="23">
        <f>(SUM(T5:T17))</f>
        <v>9.9983000000000004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0.43212160568006081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2.6289414246363538</v>
      </c>
      <c r="K4" s="4">
        <f>(J4/D9-1)</f>
        <v>-0.90893084604331098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95" priority="9" operator="lessThan">
      <formula>$J$3</formula>
    </cfRule>
    <cfRule type="cellIs" dxfId="294" priority="10" operator="greaterThan">
      <formula>$J$3</formula>
    </cfRule>
  </conditionalFormatting>
  <conditionalFormatting sqref="O11:O14">
    <cfRule type="cellIs" dxfId="293" priority="7" operator="lessThan">
      <formula>$J$3</formula>
    </cfRule>
    <cfRule type="cellIs" dxfId="292" priority="8" operator="greaterThan">
      <formula>$J$3</formula>
    </cfRule>
  </conditionalFormatting>
  <conditionalFormatting sqref="O20:O23">
    <cfRule type="cellIs" dxfId="291" priority="5" operator="lessThan">
      <formula>$J$3</formula>
    </cfRule>
    <cfRule type="cellIs" dxfId="290" priority="6" operator="greaterThan">
      <formula>$J$3</formula>
    </cfRule>
  </conditionalFormatting>
  <conditionalFormatting sqref="O29:O32">
    <cfRule type="cellIs" dxfId="289" priority="3" operator="lessThan">
      <formula>$J$3</formula>
    </cfRule>
    <cfRule type="cellIs" dxfId="288" priority="4" operator="greaterThan">
      <formula>$J$3</formula>
    </cfRule>
  </conditionalFormatting>
  <conditionalFormatting sqref="N6">
    <cfRule type="cellIs" dxfId="287" priority="1" operator="lessThan">
      <formula>$J$3</formula>
    </cfRule>
    <cfRule type="cellIs" dxfId="28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741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6.0313135921990337E-3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10.05227574559121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-250.96436425440874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-139.21436425440874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741</v>
      </c>
      <c r="E35">
        <f t="shared" ref="E35:E41" si="1">C35*D35</f>
        <v>4634.2139999999999</v>
      </c>
      <c r="F35" s="35">
        <f t="shared" ref="F35:F41" si="2">E35*$N$5</f>
        <v>3707.3712</v>
      </c>
      <c r="G35" s="23">
        <v>3.5</v>
      </c>
      <c r="H35" s="36">
        <f>G51</f>
        <v>1.5615590400000001</v>
      </c>
      <c r="I35" s="24">
        <f t="shared" ref="I35:I42" si="3">((F35-H35*D35)*$J$3-G35)</f>
        <v>11.881393383024045</v>
      </c>
      <c r="J35">
        <v>1</v>
      </c>
      <c r="K35" s="37">
        <f t="shared" ref="K35:K41" si="4">I35*J35</f>
        <v>11.881393383024045</v>
      </c>
      <c r="L35" s="38">
        <v>31</v>
      </c>
      <c r="M35" s="38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741</v>
      </c>
      <c r="E36">
        <f t="shared" si="1"/>
        <v>715.80599999999993</v>
      </c>
      <c r="F36" s="35">
        <f t="shared" si="2"/>
        <v>572.64479999999992</v>
      </c>
      <c r="G36" s="23">
        <v>3.5</v>
      </c>
      <c r="H36" s="36">
        <f>G52</f>
        <v>0.21337130135885166</v>
      </c>
      <c r="I36" s="24">
        <f t="shared" si="3"/>
        <v>-0.99979937374039407</v>
      </c>
      <c r="J36">
        <v>1</v>
      </c>
      <c r="K36" s="37">
        <f t="shared" si="4"/>
        <v>-0.99979937374039407</v>
      </c>
      <c r="L36" s="38">
        <v>8.6999999999999993</v>
      </c>
      <c r="M36" s="38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741</v>
      </c>
      <c r="E37">
        <f t="shared" si="1"/>
        <v>630.59100000000001</v>
      </c>
      <c r="F37" s="35">
        <f t="shared" si="2"/>
        <v>504.47280000000001</v>
      </c>
      <c r="G37" s="23">
        <v>3.5</v>
      </c>
      <c r="H37" s="36">
        <f>G53</f>
        <v>0.18479602162162162</v>
      </c>
      <c r="I37" s="24">
        <f t="shared" si="3"/>
        <v>-1.2832573473954731</v>
      </c>
      <c r="J37">
        <v>1</v>
      </c>
      <c r="K37" s="37">
        <f t="shared" si="4"/>
        <v>-1.2832573473954731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707</v>
      </c>
      <c r="E38">
        <f t="shared" si="1"/>
        <v>601.65700000000004</v>
      </c>
      <c r="F38" s="35">
        <f t="shared" si="2"/>
        <v>481.32560000000007</v>
      </c>
      <c r="G38" s="23">
        <v>0</v>
      </c>
      <c r="H38" s="36">
        <f>G53</f>
        <v>0.18479602162162162</v>
      </c>
      <c r="I38" s="24">
        <f t="shared" si="3"/>
        <v>2.1150297643608651</v>
      </c>
      <c r="J38">
        <v>3</v>
      </c>
      <c r="K38" s="37">
        <f t="shared" si="4"/>
        <v>6.3450892930825953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649</v>
      </c>
      <c r="E39">
        <f t="shared" si="1"/>
        <v>552.29899999999998</v>
      </c>
      <c r="F39" s="35">
        <f t="shared" si="2"/>
        <v>441.83920000000001</v>
      </c>
      <c r="G39" s="23">
        <v>0</v>
      </c>
      <c r="H39" s="36">
        <f>H38</f>
        <v>0.18479602162162162</v>
      </c>
      <c r="I39" s="24">
        <f t="shared" si="3"/>
        <v>1.9415195432393229</v>
      </c>
      <c r="J39">
        <v>1</v>
      </c>
      <c r="K39" s="37">
        <f t="shared" si="4"/>
        <v>1.9415195432393229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601</v>
      </c>
      <c r="E40">
        <f t="shared" si="1"/>
        <v>511.45099999999996</v>
      </c>
      <c r="F40" s="35">
        <f t="shared" si="2"/>
        <v>409.16079999999999</v>
      </c>
      <c r="G40" s="23">
        <v>0</v>
      </c>
      <c r="H40" s="36">
        <f>H39</f>
        <v>0.18479602162162162</v>
      </c>
      <c r="I40" s="24">
        <f t="shared" si="3"/>
        <v>1.7979248774835639</v>
      </c>
      <c r="J40">
        <v>1</v>
      </c>
      <c r="K40" s="37">
        <f t="shared" si="4"/>
        <v>1.7979248774835639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0.23618629397864027</v>
      </c>
      <c r="J41" s="16">
        <v>1</v>
      </c>
      <c r="K41" s="41">
        <f t="shared" si="4"/>
        <v>0.23618629397864027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1.3162844360944563</v>
      </c>
      <c r="J42" s="16">
        <v>1</v>
      </c>
      <c r="K42" s="41">
        <f>(I42*J42)</f>
        <v>1.3162844360944563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111.75</v>
      </c>
      <c r="O47" s="38">
        <f>(J13+SUM(G35:G41)-D77)</f>
        <v>2.0725237455912122</v>
      </c>
      <c r="P47">
        <f>(O47/J3)</f>
        <v>343.62725696634925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85" priority="17" operator="lessThan">
      <formula>$C$5</formula>
    </cfRule>
    <cfRule type="cellIs" dxfId="284" priority="18" operator="greaterThan">
      <formula>$C$5</formula>
    </cfRule>
  </conditionalFormatting>
  <conditionalFormatting sqref="L36">
    <cfRule type="cellIs" dxfId="283" priority="15" operator="lessThan">
      <formula>$C$6</formula>
    </cfRule>
    <cfRule type="cellIs" dxfId="282" priority="16" operator="greaterThan">
      <formula>$C$6</formula>
    </cfRule>
  </conditionalFormatting>
  <conditionalFormatting sqref="L40">
    <cfRule type="cellIs" dxfId="281" priority="13" operator="lessThan">
      <formula>$C$20</formula>
    </cfRule>
    <cfRule type="cellIs" dxfId="280" priority="14" operator="greaterThan">
      <formula>$C$20</formula>
    </cfRule>
  </conditionalFormatting>
  <conditionalFormatting sqref="L39">
    <cfRule type="cellIs" dxfId="279" priority="11" operator="lessThan">
      <formula>$C$19</formula>
    </cfRule>
    <cfRule type="cellIs" dxfId="278" priority="12" operator="greaterThan">
      <formula>$C$19</formula>
    </cfRule>
  </conditionalFormatting>
  <conditionalFormatting sqref="L38">
    <cfRule type="cellIs" dxfId="277" priority="9" operator="lessThan">
      <formula>$C$17</formula>
    </cfRule>
    <cfRule type="cellIs" dxfId="276" priority="10" operator="greaterThan">
      <formula>$C$17</formula>
    </cfRule>
  </conditionalFormatting>
  <conditionalFormatting sqref="L37">
    <cfRule type="cellIs" dxfId="275" priority="7" operator="lessThan">
      <formula>$C$7</formula>
    </cfRule>
    <cfRule type="cellIs" dxfId="274" priority="8" operator="greaterThan">
      <formula>$C$7</formula>
    </cfRule>
  </conditionalFormatting>
  <conditionalFormatting sqref="L43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4:L46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(-270/3)</f>
        <v>-90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32" width="9.140625" style="14" customWidth="1"/>
    <col min="13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10.78867617265014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3.3860284981817657</v>
      </c>
      <c r="K4" s="4">
        <f>(J4/D13-1)</f>
        <v>-3.0870164496819181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1.044E-5</v>
      </c>
      <c r="C6" s="28">
        <v>0</v>
      </c>
      <c r="D6" s="28">
        <f>(B6*C6)</f>
        <v>0</v>
      </c>
      <c r="E6" s="23">
        <f>(B6*J3)</f>
        <v>1.1263377924246746E-4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1.044E-5</v>
      </c>
      <c r="S6" s="28">
        <v>0</v>
      </c>
      <c r="T6" s="28">
        <f>(D6)</f>
        <v>0</v>
      </c>
      <c r="U6" s="23">
        <f>(R6*J3)</f>
        <v>1.1263377924246746E-4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0.11888081799999999</v>
      </c>
      <c r="O9" s="23">
        <f>($C$5*[1]Params!K11)</f>
        <v>20</v>
      </c>
      <c r="P9" s="23">
        <f>(O9*N9)</f>
        <v>2.3776163599999998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4.8027424520000004</v>
      </c>
    </row>
    <row r="12" spans="2:21">
      <c r="F12" t="s">
        <v>9</v>
      </c>
      <c r="G12" s="45">
        <f>(D13/B13)</f>
        <v>-5.1694255568969956</v>
      </c>
    </row>
    <row r="13" spans="2:21">
      <c r="B13" s="1">
        <f>(SUM(B5:B12))</f>
        <v>0.31385022999999995</v>
      </c>
      <c r="D13" s="23">
        <f>(SUM(D5:D12))</f>
        <v>-1.6224254</v>
      </c>
      <c r="R13" s="1">
        <f>(SUM(R5:R12))</f>
        <v>0.59440408999999994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0.82082762083070526</v>
      </c>
    </row>
    <row r="21" spans="5:15">
      <c r="E21" s="46"/>
    </row>
  </sheetData>
  <conditionalFormatting sqref="C5 G12 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O9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1" operator="greaterThan">
      <formula>$J$3</formula>
    </cfRule>
    <cfRule type="cellIs" dxfId="26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0.61897153235269853</v>
      </c>
      <c r="M3" t="s">
        <v>4</v>
      </c>
      <c r="N3" s="26">
        <f>(INDEX(N5:N21,MATCH(MAX(O6:O7),O5:O21,0))/0.9)</f>
        <v>25</v>
      </c>
      <c r="O3" s="24">
        <f>(MAX(O6:O7)*0.85)</f>
        <v>0.48053107087131575</v>
      </c>
      <c r="P3" s="45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45.361504214517502</v>
      </c>
      <c r="K4" s="4">
        <f>(J4/D13-1)</f>
        <v>1.4650837661170337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0.73050444999999997</v>
      </c>
      <c r="C6" s="28">
        <v>0</v>
      </c>
      <c r="D6" s="28">
        <f>(B6*C6)</f>
        <v>0</v>
      </c>
      <c r="E6" s="23">
        <f>(B6*J3)</f>
        <v>0.45216145880696523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0.73050444999999997</v>
      </c>
      <c r="S6" s="28">
        <v>0</v>
      </c>
      <c r="T6" s="28">
        <f>(D6)</f>
        <v>0</v>
      </c>
      <c r="U6" s="23">
        <f>(R6*J3)</f>
        <v>0.45216145880696523</v>
      </c>
    </row>
    <row r="7" spans="2:21">
      <c r="B7" s="1">
        <v>114.98538983</v>
      </c>
      <c r="C7" s="23">
        <f>(D7/B7)</f>
        <v>0.35047930923729942</v>
      </c>
      <c r="D7" s="23">
        <v>40.299999999999997</v>
      </c>
      <c r="E7" t="s">
        <v>15</v>
      </c>
      <c r="N7" s="1">
        <f>-B11</f>
        <v>22.5</v>
      </c>
      <c r="O7" s="23">
        <f>($S$7*[1]Params!K9)</f>
        <v>0.56533067161331263</v>
      </c>
      <c r="P7" s="23">
        <f>-D11</f>
        <v>12.305999999999999</v>
      </c>
      <c r="Q7" t="s">
        <v>12</v>
      </c>
      <c r="R7" s="35">
        <f>B7+B10</f>
        <v>92.415389830000009</v>
      </c>
      <c r="S7" s="23">
        <f>(T7/R7)</f>
        <v>0.35333166975832037</v>
      </c>
      <c r="T7" s="23">
        <f>D7+B10*0.3388</f>
        <v>32.653283999999999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25.943170087999995</v>
      </c>
      <c r="O8" s="23">
        <f>($C$7*[1]Params!K10)</f>
        <v>0.77105448032205881</v>
      </c>
      <c r="P8" s="23">
        <f>(O8*N8)</f>
        <v>20.003597530109616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14.657056696000001</v>
      </c>
      <c r="O9" s="23">
        <f>($C$7*[1]Params!K11)</f>
        <v>1.752396546186497</v>
      </c>
      <c r="P9" s="23">
        <f>(O9*N9)</f>
        <v>25.684975531330071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68.07700203143969</v>
      </c>
    </row>
    <row r="12" spans="2:21">
      <c r="F12" t="s">
        <v>9</v>
      </c>
      <c r="G12" s="45">
        <f>(D13/B13)</f>
        <v>0.25109553714180433</v>
      </c>
    </row>
    <row r="13" spans="2:21">
      <c r="B13" s="1">
        <f>(SUM(B5:B12))</f>
        <v>73.285283480000004</v>
      </c>
      <c r="D13" s="23">
        <f>(SUM(D5:D12))</f>
        <v>18.40160762</v>
      </c>
      <c r="R13" s="1">
        <f>(SUM(R5:R12))</f>
        <v>95.785283480000004</v>
      </c>
      <c r="T13" s="23">
        <f>(SUM(T5:T12))</f>
        <v>30.707607620000001</v>
      </c>
    </row>
  </sheetData>
  <conditionalFormatting sqref="C5 C7 G12 S5 S7">
    <cfRule type="cellIs" dxfId="263" priority="19" operator="lessThan">
      <formula>$J$3</formula>
    </cfRule>
    <cfRule type="cellIs" dxfId="262" priority="20" operator="greaterThan">
      <formula>$J$3</formula>
    </cfRule>
  </conditionalFormatting>
  <conditionalFormatting sqref="O8:O9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2023-12-28T21:42:27Z</dcterms:modified>
</cp:coreProperties>
</file>