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506048"/>
        <axId val="75507968"/>
      </lineChart>
      <dateAx>
        <axId val="75506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07968"/>
        <crosses val="autoZero"/>
        <lblOffset val="100"/>
      </dateAx>
      <valAx>
        <axId val="755079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06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2379.406008764718</v>
      </c>
      <c r="M3" t="inlineStr">
        <is>
          <t>Objectif :</t>
        </is>
      </c>
      <c r="N3" s="24">
        <f>(INDEX(N5:N33,MATCH(MAX(O6,O14),O5:O33,0))/0.85)</f>
        <v/>
      </c>
      <c r="O3" s="58">
        <f>(MAX(O6,O14)*0.75)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59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59">
        <f>(R5*S5)</f>
        <v/>
      </c>
    </row>
    <row r="6">
      <c r="B6" s="24" t="n">
        <v>0.0005999999999999999</v>
      </c>
      <c r="C6" s="58" t="n">
        <v>3950</v>
      </c>
      <c r="D6" s="59">
        <f>B6*C6</f>
        <v/>
      </c>
      <c r="M6" t="inlineStr">
        <is>
          <t>Objectif</t>
        </is>
      </c>
      <c r="N6">
        <f>(-B39)</f>
        <v/>
      </c>
      <c r="O6" s="58">
        <f>(C39)</f>
        <v/>
      </c>
      <c r="P6" s="59">
        <f>(O6*N6)</f>
        <v/>
      </c>
      <c r="Q6" t="inlineStr">
        <is>
          <t>Done</t>
        </is>
      </c>
      <c r="R6" s="24">
        <f>(B6)</f>
        <v/>
      </c>
      <c r="S6" s="58" t="n">
        <v>3950</v>
      </c>
      <c r="T6" s="59">
        <f>(R6*S6)</f>
        <v/>
      </c>
    </row>
    <row r="7">
      <c r="B7" s="24" t="n">
        <v>0.0034</v>
      </c>
      <c r="C7" s="58" t="n">
        <v>3428</v>
      </c>
      <c r="D7" s="59">
        <f>B7*C7</f>
        <v/>
      </c>
      <c r="F7" t="inlineStr">
        <is>
          <t>Moy</t>
        </is>
      </c>
      <c r="G7" s="57">
        <f>(D43/B43)</f>
        <v/>
      </c>
      <c r="N7">
        <f>(2*($R$18+N6)/5-N6)</f>
        <v/>
      </c>
      <c r="O7" s="58">
        <f>($S$18*[1]Params!K16)</f>
        <v/>
      </c>
      <c r="P7" s="59">
        <f>(O7*N7)</f>
        <v/>
      </c>
      <c r="R7" s="24">
        <f>(B7)</f>
        <v/>
      </c>
      <c r="S7" s="58" t="n">
        <v>3428</v>
      </c>
      <c r="T7" s="59">
        <f>(R7*S7)</f>
        <v/>
      </c>
    </row>
    <row r="8">
      <c r="B8" s="24" t="n">
        <v>-0.0076</v>
      </c>
      <c r="C8" s="57" t="n">
        <v>3216.89</v>
      </c>
      <c r="D8" s="59">
        <f>B8*C8</f>
        <v/>
      </c>
      <c r="N8">
        <f>($B$35/5)</f>
        <v/>
      </c>
      <c r="O8" s="58">
        <f>($S$18*[1]Params!K17)</f>
        <v/>
      </c>
      <c r="P8" s="59">
        <f>(O8*N8)</f>
        <v/>
      </c>
      <c r="R8" s="24">
        <f>(B11+B10+B9+B8)</f>
        <v/>
      </c>
      <c r="S8" s="57" t="n">
        <v>0</v>
      </c>
      <c r="T8" s="59">
        <f>(D11+D10+D9+D8)</f>
        <v/>
      </c>
    </row>
    <row r="9">
      <c r="B9" s="24" t="n">
        <v>-0.0076</v>
      </c>
      <c r="C9" s="57" t="n">
        <v>3214.67</v>
      </c>
      <c r="D9" s="59">
        <f>B9*C9</f>
        <v/>
      </c>
      <c r="N9">
        <f>($B$35/5)</f>
        <v/>
      </c>
      <c r="O9" s="58">
        <f>($S$18*[1]Params!K18)</f>
        <v/>
      </c>
      <c r="P9" s="59">
        <f>(O9*N9)</f>
        <v/>
      </c>
      <c r="R9" s="24">
        <f>(B12)</f>
        <v/>
      </c>
      <c r="S9" s="57" t="n">
        <v>0</v>
      </c>
      <c r="T9" s="59">
        <f>(R9*S9)</f>
        <v/>
      </c>
    </row>
    <row r="10">
      <c r="B10" s="24" t="n">
        <v>-0.0076</v>
      </c>
      <c r="C10" s="57" t="n">
        <v>3213.16</v>
      </c>
      <c r="D10" s="59">
        <f>B10*C10</f>
        <v/>
      </c>
      <c r="R10" s="24">
        <f>(SUM(B13:B20))</f>
        <v/>
      </c>
      <c r="S10" s="58">
        <f>(T10/R10)</f>
        <v/>
      </c>
      <c r="T10" s="59">
        <f>(SUM(D13:D20))</f>
        <v/>
      </c>
    </row>
    <row r="11">
      <c r="B11" s="24" t="n">
        <v>0.0243</v>
      </c>
      <c r="C11" s="58" t="n">
        <v>3010</v>
      </c>
      <c r="D11" s="59">
        <f>B11*C11</f>
        <v/>
      </c>
      <c r="I11" t="inlineStr">
        <is>
          <t>Objectif</t>
        </is>
      </c>
      <c r="J11" t="n">
        <v>0.6</v>
      </c>
      <c r="P11" s="59">
        <f>(SUM(P6:P9))</f>
        <v/>
      </c>
      <c r="R11" s="24">
        <f>(B21)</f>
        <v/>
      </c>
      <c r="S11" s="58" t="n">
        <v>1895</v>
      </c>
      <c r="T11" s="59">
        <f>(R11*S11)</f>
        <v/>
      </c>
    </row>
    <row r="12">
      <c r="B12" s="25" t="n">
        <v>0.00675898</v>
      </c>
      <c r="C12" s="60" t="n">
        <v>0</v>
      </c>
      <c r="D12" s="61">
        <f>B12*C12</f>
        <v/>
      </c>
      <c r="E12" s="57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8" t="n">
        <v>1890.15</v>
      </c>
      <c r="T12" s="59">
        <f>(R12*S12)</f>
        <v/>
      </c>
    </row>
    <row r="13">
      <c r="B13" s="24" t="n">
        <v>-0.008</v>
      </c>
      <c r="C13" s="57" t="n">
        <v>2340</v>
      </c>
      <c r="D13" s="59">
        <f>B13*C13</f>
        <v/>
      </c>
      <c r="I13" t="inlineStr">
        <is>
          <t>Diff in $</t>
        </is>
      </c>
      <c r="J13" s="57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8">
        <f>(T13/R13)</f>
        <v/>
      </c>
      <c r="T13" s="59">
        <f>(82.1)</f>
        <v/>
      </c>
    </row>
    <row r="14">
      <c r="B14" s="24" t="n">
        <v>-0.01</v>
      </c>
      <c r="C14" s="57" t="n">
        <v>2263</v>
      </c>
      <c r="D14" s="59">
        <f>B14*C14</f>
        <v/>
      </c>
      <c r="M14" t="inlineStr">
        <is>
          <t>Objectif</t>
        </is>
      </c>
      <c r="N14">
        <f>(-B38)</f>
        <v/>
      </c>
      <c r="O14" s="58">
        <f>(C38)</f>
        <v/>
      </c>
      <c r="P14" s="59">
        <f>(O14*N14)</f>
        <v/>
      </c>
      <c r="Q14" t="inlineStr">
        <is>
          <t>Done</t>
        </is>
      </c>
      <c r="R14" s="24">
        <f>(B24)</f>
        <v/>
      </c>
      <c r="S14" s="58" t="n">
        <v>1709</v>
      </c>
      <c r="T14" s="59">
        <f>(S14*R14)</f>
        <v/>
      </c>
    </row>
    <row r="15">
      <c r="B15" s="24" t="n">
        <v>-0.008999999999999999</v>
      </c>
      <c r="C15" s="57" t="n">
        <v>2114</v>
      </c>
      <c r="D15" s="59">
        <f>B15*C15</f>
        <v/>
      </c>
      <c r="N15">
        <f>(2*($R$19+N14)/5-N14)</f>
        <v/>
      </c>
      <c r="O15" s="58">
        <f>($S$19*[1]Params!K16)</f>
        <v/>
      </c>
      <c r="P15" s="59">
        <f>(O15*N15)</f>
        <v/>
      </c>
      <c r="R15" s="24">
        <f>(B25)</f>
        <v/>
      </c>
      <c r="S15" s="58" t="n">
        <v>1617.3</v>
      </c>
      <c r="T15" s="59">
        <f>(S15*R15)</f>
        <v/>
      </c>
    </row>
    <row r="16">
      <c r="B16" s="24" t="n">
        <v>-0.008</v>
      </c>
      <c r="C16" s="57" t="n">
        <v>2027.47</v>
      </c>
      <c r="D16" s="59">
        <f>B16*C16</f>
        <v/>
      </c>
      <c r="N16">
        <f>($B$36/5)</f>
        <v/>
      </c>
      <c r="O16" s="58">
        <f>($S$19*[1]Params!K17)</f>
        <v/>
      </c>
      <c r="P16" s="59">
        <f>(O16*N16)</f>
        <v/>
      </c>
      <c r="R16" s="24">
        <f>(SUM(B26:B33))</f>
        <v/>
      </c>
      <c r="S16" s="57" t="n">
        <v>0</v>
      </c>
      <c r="T16" s="59">
        <f>(SUM(D26:D33))</f>
        <v/>
      </c>
    </row>
    <row r="17">
      <c r="B17" s="24" t="n">
        <v>-0.008200000000000001</v>
      </c>
      <c r="C17" s="57" t="n">
        <v>1961</v>
      </c>
      <c r="D17" s="59">
        <f>B17*C17</f>
        <v/>
      </c>
      <c r="N17">
        <f>($B$36/5)</f>
        <v/>
      </c>
      <c r="O17" s="58">
        <f>($S$19*[1]Params!K18)</f>
        <v/>
      </c>
      <c r="P17" s="59">
        <f>(O17*N17)</f>
        <v/>
      </c>
      <c r="R17" s="24">
        <f>(B34)</f>
        <v/>
      </c>
      <c r="S17" s="57">
        <f>(T17/R17)</f>
        <v/>
      </c>
      <c r="T17" s="59" t="n">
        <v>-12.19326523</v>
      </c>
    </row>
    <row r="18">
      <c r="B18" s="24" t="n">
        <v>0.016</v>
      </c>
      <c r="C18" s="58">
        <f>1/0.00048218</f>
        <v/>
      </c>
      <c r="D18" s="59">
        <f>B18*C18</f>
        <v/>
      </c>
      <c r="R18" s="24">
        <f>(B35+B39)</f>
        <v/>
      </c>
      <c r="S18" s="58">
        <f>(T18/R18)</f>
        <v/>
      </c>
      <c r="T18" s="59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59">
        <f>B19*C19</f>
        <v/>
      </c>
      <c r="P19" s="59">
        <f>(SUM(P14:P17))</f>
        <v/>
      </c>
      <c r="R19" s="24">
        <f>(B36+B38)</f>
        <v/>
      </c>
      <c r="S19" s="58">
        <f>(T19/R19)</f>
        <v/>
      </c>
      <c r="T19" s="59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59" t="n">
        <v>50</v>
      </c>
      <c r="R20" s="24">
        <f>(B37)</f>
        <v/>
      </c>
      <c r="S20" s="58">
        <f>(C37)</f>
        <v/>
      </c>
      <c r="T20" s="59">
        <f>(D37)</f>
        <v/>
      </c>
    </row>
    <row r="21">
      <c r="B21" s="24" t="n">
        <v>0.01</v>
      </c>
      <c r="C21" s="58" t="n">
        <v>1895</v>
      </c>
      <c r="D21" s="59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7" t="n">
        <v>0</v>
      </c>
      <c r="T21" s="59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59">
        <f>B22*C22</f>
        <v/>
      </c>
      <c r="M22" t="inlineStr">
        <is>
          <t>Objectif</t>
        </is>
      </c>
      <c r="N22" s="24">
        <f>($R$20/5)</f>
        <v/>
      </c>
      <c r="O22" s="58">
        <f>($S$20*[1]Params!K15)</f>
        <v/>
      </c>
      <c r="P22" s="59">
        <f>(O22*N22)</f>
        <v/>
      </c>
      <c r="R22" s="24">
        <f>(B39-B39)</f>
        <v/>
      </c>
      <c r="S22" s="57" t="n">
        <v>0</v>
      </c>
      <c r="T22" s="59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59">
        <f>82.1</f>
        <v/>
      </c>
      <c r="N23" s="24">
        <f>($R$20/5)</f>
        <v/>
      </c>
      <c r="O23" s="58">
        <f>($S$20*[1]Params!K16)</f>
        <v/>
      </c>
      <c r="P23" s="59">
        <f>(O23*N23)</f>
        <v/>
      </c>
      <c r="R23" s="24">
        <f>(B40)</f>
        <v/>
      </c>
      <c r="S23" s="58">
        <f>(T23/R23)</f>
        <v/>
      </c>
      <c r="T23" s="59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59">
        <f>C24*B24</f>
        <v/>
      </c>
      <c r="N24" s="24">
        <f>($R$20/5)</f>
        <v/>
      </c>
      <c r="O24" s="58">
        <f>($S$20*[1]Params!K17)</f>
        <v/>
      </c>
      <c r="P24" s="59">
        <f>(O24*N24)</f>
        <v/>
      </c>
      <c r="R24" s="24">
        <f>B41</f>
        <v/>
      </c>
      <c r="S24" s="58">
        <f>(T24/R24)</f>
        <v/>
      </c>
      <c r="T24" s="59">
        <f>D41</f>
        <v/>
      </c>
    </row>
    <row r="25">
      <c r="B25" s="24" t="n">
        <v>0.01</v>
      </c>
      <c r="C25" s="58" t="n">
        <v>1617.3</v>
      </c>
      <c r="D25" s="59">
        <f>(C25*B25)</f>
        <v/>
      </c>
      <c r="N25" s="24">
        <f>($R$20/5)</f>
        <v/>
      </c>
      <c r="O25" s="58">
        <f>($S$20*[1]Params!K18)</f>
        <v/>
      </c>
      <c r="P25" s="59">
        <f>(O25*N25)</f>
        <v/>
      </c>
    </row>
    <row r="26">
      <c r="B26" s="24" t="n">
        <v>-0.01</v>
      </c>
      <c r="C26" s="57" t="n">
        <v>1530</v>
      </c>
      <c r="D26" s="59">
        <f>(C26*B26)</f>
        <v/>
      </c>
    </row>
    <row r="27">
      <c r="B27" s="24" t="n">
        <v>0.01</v>
      </c>
      <c r="C27" s="58" t="n">
        <v>1500</v>
      </c>
      <c r="D27" s="59">
        <f>(C27*B27)</f>
        <v/>
      </c>
      <c r="P27" s="59">
        <f>(SUM(P22:P25))</f>
        <v/>
      </c>
    </row>
    <row r="28">
      <c r="B28" s="24" t="n">
        <v>-0.01</v>
      </c>
      <c r="C28" s="57">
        <f>(D28/B28)</f>
        <v/>
      </c>
      <c r="D28" s="59" t="n">
        <v>-14.43</v>
      </c>
    </row>
    <row r="29">
      <c r="B29" s="24" t="n">
        <v>0.01</v>
      </c>
      <c r="C29" s="58" t="n">
        <v>1428.89</v>
      </c>
      <c r="D29" s="59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7" t="n">
        <v>1402.5</v>
      </c>
      <c r="D30" s="59">
        <f>(C30*B30)</f>
        <v/>
      </c>
      <c r="M30" t="inlineStr">
        <is>
          <t>Objectif</t>
        </is>
      </c>
      <c r="N30">
        <f>($R$23/5)</f>
        <v/>
      </c>
      <c r="O30" s="58">
        <f>($S$23*[1]Params!K15)</f>
        <v/>
      </c>
      <c r="P30" s="59">
        <f>(O30*N30)</f>
        <v/>
      </c>
    </row>
    <row r="31">
      <c r="B31" s="24" t="n">
        <v>0.01</v>
      </c>
      <c r="C31" s="58" t="n">
        <v>1372</v>
      </c>
      <c r="D31" s="59">
        <f>(C31*B31)</f>
        <v/>
      </c>
      <c r="N31">
        <f>($R$23/5)</f>
        <v/>
      </c>
      <c r="O31" s="58">
        <f>($S$23*[1]Params!K16)</f>
        <v/>
      </c>
      <c r="P31" s="59">
        <f>(O31*N31)</f>
        <v/>
      </c>
    </row>
    <row r="32">
      <c r="B32" s="24" t="n">
        <v>-0.01</v>
      </c>
      <c r="C32" s="57" t="n">
        <v>1286.66</v>
      </c>
      <c r="D32" s="59">
        <f>(C32*B32)</f>
        <v/>
      </c>
      <c r="N32">
        <f>($R$23/5)</f>
        <v/>
      </c>
      <c r="O32" s="58">
        <f>($S$23*[1]Params!K17)</f>
        <v/>
      </c>
      <c r="P32" s="59">
        <f>(O32*N32)</f>
        <v/>
      </c>
      <c r="R32">
        <f>(SUM(R5:R31))</f>
        <v/>
      </c>
      <c r="T32" s="59">
        <f>(SUM(T5:T31))</f>
        <v/>
      </c>
    </row>
    <row r="33">
      <c r="B33" s="24" t="n">
        <v>0.01</v>
      </c>
      <c r="C33" s="58" t="n">
        <v>1250</v>
      </c>
      <c r="D33" s="59">
        <f>(C33*B33)</f>
        <v/>
      </c>
      <c r="N33">
        <f>($R$23/5)</f>
        <v/>
      </c>
      <c r="O33" s="58">
        <f>($S$23*[1]Params!K18)</f>
        <v/>
      </c>
      <c r="P33" s="59">
        <f>(O33*N33)</f>
        <v/>
      </c>
    </row>
    <row r="34">
      <c r="B34" s="24" t="n">
        <v>-0.01</v>
      </c>
      <c r="C34" s="57">
        <f>(D34/B34)</f>
        <v/>
      </c>
      <c r="D34" s="59" t="n">
        <v>-12.19326523</v>
      </c>
    </row>
    <row r="35">
      <c r="B35" s="24" t="n">
        <v>0.11612225</v>
      </c>
      <c r="C35" s="58">
        <f>(D35/B35)</f>
        <v/>
      </c>
      <c r="D35" s="59" t="n">
        <v>195.09</v>
      </c>
      <c r="E35" t="inlineStr">
        <is>
          <t>DCA1</t>
        </is>
      </c>
      <c r="P35" s="59">
        <f>(SUM(P30:P33))</f>
        <v/>
      </c>
    </row>
    <row r="36">
      <c r="B36" s="24" t="n">
        <v>0.02350642</v>
      </c>
      <c r="C36" s="58">
        <f>(D36/B36)</f>
        <v/>
      </c>
      <c r="D36" s="59" t="n">
        <v>40.3</v>
      </c>
      <c r="E36" t="inlineStr">
        <is>
          <t>DCA2</t>
        </is>
      </c>
    </row>
    <row r="37">
      <c r="B37" s="24" t="n">
        <v>0.00041228</v>
      </c>
      <c r="C37" s="58">
        <f>(D37/B37)</f>
        <v/>
      </c>
      <c r="D37" s="59" t="n">
        <v>0.5</v>
      </c>
    </row>
    <row r="38">
      <c r="B38" s="24">
        <f>(-0.000705)</f>
        <v/>
      </c>
      <c r="C38" s="57" t="n">
        <v>1605</v>
      </c>
      <c r="D38" s="59">
        <f>(C38*B38)</f>
        <v/>
      </c>
    </row>
    <row r="39">
      <c r="B39" s="24">
        <f>(-0.00535-B38)</f>
        <v/>
      </c>
      <c r="C39" s="57" t="n">
        <v>1605</v>
      </c>
      <c r="D39" s="59">
        <f>(C39*B39)</f>
        <v/>
      </c>
    </row>
    <row r="40">
      <c r="B40" s="24" t="n">
        <v>0.05362452</v>
      </c>
      <c r="C40" s="58">
        <f>(D40/B40)</f>
        <v/>
      </c>
      <c r="D40" s="59" t="n">
        <v>99.15000000000001</v>
      </c>
      <c r="E40" t="inlineStr">
        <is>
          <t>DCA3</t>
        </is>
      </c>
    </row>
    <row r="41">
      <c r="B41" s="24" t="n">
        <v>0.0203796</v>
      </c>
      <c r="C41" s="58" t="n">
        <v>2275</v>
      </c>
      <c r="D41" s="59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8">
        <f>D43/B43</f>
        <v/>
      </c>
    </row>
    <row r="43">
      <c r="B43">
        <f>(SUM(B5:B42))</f>
        <v/>
      </c>
      <c r="D43" s="59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0.186471220290958</v>
      </c>
      <c r="M3" t="inlineStr">
        <is>
          <t>Objectif :</t>
        </is>
      </c>
      <c r="N3" s="24">
        <f>(INDEX(N5:N23,MATCH(MAX(O6),O5:O23,0))/0.85)</f>
        <v/>
      </c>
      <c r="O3" s="58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7">
        <f>(T5/R5)</f>
        <v/>
      </c>
      <c r="T5" s="57">
        <f>D5</f>
        <v/>
      </c>
    </row>
    <row r="6">
      <c r="B6" s="2" t="n">
        <v>0.5703359099999999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67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7">
        <f>(E6)</f>
        <v/>
      </c>
    </row>
    <row r="7">
      <c r="B7" s="67" t="n">
        <v>-12.028</v>
      </c>
      <c r="C7" s="57">
        <f>(D7/B7)</f>
        <v/>
      </c>
      <c r="D7" s="57" t="n">
        <v>-2.549936</v>
      </c>
      <c r="N7" s="67">
        <f>2*($B$14-$B$11)/5-N6</f>
        <v/>
      </c>
      <c r="O7" s="57">
        <f>($C$5*[1]Params!K9)</f>
        <v/>
      </c>
      <c r="P7" s="57">
        <f>(O7*N7)</f>
        <v/>
      </c>
      <c r="R7" s="67">
        <f>SUM(B7:B10)</f>
        <v/>
      </c>
      <c r="S7" s="57" t="n">
        <v>0</v>
      </c>
      <c r="T7" s="57">
        <f>SUM(D7:D10)</f>
        <v/>
      </c>
      <c r="U7" s="58" t="n"/>
    </row>
    <row r="8">
      <c r="B8" s="67" t="n">
        <v>-12</v>
      </c>
      <c r="C8" s="57">
        <f>(D8/B8)</f>
        <v/>
      </c>
      <c r="D8" s="57" t="n">
        <v>-3.06</v>
      </c>
      <c r="N8" s="67">
        <f>($B$14-$B$11)/5</f>
        <v/>
      </c>
      <c r="O8" s="57">
        <f>($C$5*[1]Params!K10)</f>
        <v/>
      </c>
      <c r="P8" s="57">
        <f>(O8*N8)</f>
        <v/>
      </c>
      <c r="R8" s="67">
        <f>B11</f>
        <v/>
      </c>
      <c r="S8" s="57">
        <f>(T8/R8)</f>
        <v/>
      </c>
      <c r="T8" s="57">
        <f>D11</f>
        <v/>
      </c>
    </row>
    <row r="9">
      <c r="B9" s="67" t="n">
        <v>13.39371616</v>
      </c>
      <c r="C9" s="57">
        <f>(D9/B9)</f>
        <v/>
      </c>
      <c r="D9" s="57" t="n">
        <v>2.8758</v>
      </c>
      <c r="N9" s="67">
        <f>($B$14-$B$11)/5</f>
        <v/>
      </c>
      <c r="O9" s="57">
        <f>($C$5*[1]Params!K11)</f>
        <v/>
      </c>
      <c r="P9" s="57">
        <f>(O9*N9)</f>
        <v/>
      </c>
    </row>
    <row r="10">
      <c r="B10" s="67" t="n">
        <v>13.23709339</v>
      </c>
      <c r="C10" s="57">
        <f>(D10/B10)</f>
        <v/>
      </c>
      <c r="D10" s="57" t="n">
        <v>2.41</v>
      </c>
    </row>
    <row r="11">
      <c r="B11" s="67" t="n">
        <v>-12.66</v>
      </c>
      <c r="C11" s="57">
        <f>(D11/B11)</f>
        <v/>
      </c>
      <c r="D11" s="57" t="n">
        <v>-2.81724106</v>
      </c>
    </row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7">
        <f>(SUM(B5:B13))</f>
        <v/>
      </c>
      <c r="D14" s="57">
        <f>(SUM(D5:D13))</f>
        <v/>
      </c>
    </row>
    <row r="15"/>
    <row r="16"/>
    <row r="17">
      <c r="N17" s="67" t="n"/>
      <c r="R17" s="67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1.327290288425228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7">
        <f>(R5*J3)</f>
        <v/>
      </c>
    </row>
    <row r="6">
      <c r="B6" s="79" t="n">
        <v>0.58532142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67">
        <f>(SUM(R5:R7)/5)</f>
        <v/>
      </c>
      <c r="O6" s="57">
        <f>($C$5*[1]Params!K8)</f>
        <v/>
      </c>
      <c r="P6" s="57">
        <f>(O6*N6)</f>
        <v/>
      </c>
      <c r="R6" s="67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67" t="n">
        <v>-0.2273</v>
      </c>
      <c r="C7" s="57">
        <f>(D7/B7)</f>
        <v/>
      </c>
      <c r="D7" s="57" t="n">
        <v>-1.125135</v>
      </c>
      <c r="N7" s="67">
        <f>(SUM(R5:R7)/5)</f>
        <v/>
      </c>
      <c r="O7" s="57">
        <f>($C$5*[1]Params!K9)</f>
        <v/>
      </c>
      <c r="P7" s="57">
        <f>(O7*N7)</f>
        <v/>
      </c>
      <c r="R7" s="67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67" t="n">
        <v>-0.305</v>
      </c>
      <c r="C8" s="57">
        <f>(D8/B8)</f>
        <v/>
      </c>
      <c r="D8" s="57" t="n">
        <v>-1.91101378</v>
      </c>
      <c r="N8" s="67">
        <f>(SUM(R5:R7)/5)</f>
        <v/>
      </c>
      <c r="O8" s="57">
        <f>($C$5*[1]Params!K10)</f>
        <v/>
      </c>
      <c r="P8" s="57">
        <f>(O8*N8)</f>
        <v/>
      </c>
    </row>
    <row r="9">
      <c r="B9" s="67" t="n">
        <v>0.34203371</v>
      </c>
      <c r="C9" s="57">
        <f>(D9/B9)</f>
        <v/>
      </c>
      <c r="D9" s="57" t="n">
        <v>1.8</v>
      </c>
      <c r="N9" s="67">
        <f>(SUM(R5:R7)/5)</f>
        <v/>
      </c>
      <c r="O9" s="57">
        <f>($C$5*[1]Params!K11)</f>
        <v/>
      </c>
      <c r="P9" s="57">
        <f>(O9*N9)</f>
        <v/>
      </c>
    </row>
    <row r="10">
      <c r="B10" s="67" t="n">
        <v>0.25620803</v>
      </c>
      <c r="C10" s="57">
        <f>(D10/B10)</f>
        <v/>
      </c>
      <c r="D10" s="57" t="n">
        <v>1.06</v>
      </c>
    </row>
    <row r="11">
      <c r="B11" s="67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67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67">
        <f>(SUM(B5:B13))</f>
        <v/>
      </c>
      <c r="D14" s="57">
        <f>(SUM(D5:D13))</f>
        <v/>
      </c>
      <c r="R14" s="67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9.737527369349094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67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($C$5*[1]Params!K8)</f>
        <v/>
      </c>
      <c r="P6" s="57">
        <f>(O6*N6)</f>
        <v/>
      </c>
    </row>
    <row r="7">
      <c r="B7" s="79" t="n">
        <v>0.02729627</v>
      </c>
      <c r="C7" s="60" t="n">
        <v>0</v>
      </c>
      <c r="D7" s="61">
        <f>(C7*B7)</f>
        <v/>
      </c>
      <c r="E7" s="57">
        <f>(B7*J4)</f>
        <v/>
      </c>
      <c r="N7" s="1">
        <f>(SUM($B$5:$B$7)/5)</f>
        <v/>
      </c>
      <c r="O7" s="57">
        <f>($C$5*[1]Params!K9)</f>
        <v/>
      </c>
      <c r="P7" s="57">
        <f>(O7*N7)</f>
        <v/>
      </c>
    </row>
    <row r="8">
      <c r="N8" s="1">
        <f>(SUM($B$5:$B$7)/5)</f>
        <v/>
      </c>
      <c r="O8" s="57">
        <f>($C$5*[1]Params!K10)</f>
        <v/>
      </c>
      <c r="P8" s="57">
        <f>(O8*N8)</f>
        <v/>
      </c>
    </row>
    <row r="9">
      <c r="N9" s="1">
        <f>(SUM($B$5:$B$7)/5)</f>
        <v/>
      </c>
      <c r="O9" s="57">
        <f>($C$5*[1]Params!K11)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34.4941090180089</v>
      </c>
      <c r="M3" t="inlineStr">
        <is>
          <t>Objectif :</t>
        </is>
      </c>
      <c r="N3" s="24">
        <f>(INDEX(N5:N23,MATCH(MAX(O20:O22,O6:O8),O5:O23,0))/0.85)</f>
        <v/>
      </c>
      <c r="O3" s="58">
        <f>(MAX(O20:O22,O6:O8)*0.75)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0" t="n">
        <v>0</v>
      </c>
      <c r="T5" s="61">
        <f>(D6)</f>
        <v/>
      </c>
      <c r="U5" s="57">
        <f>(R5*J3)</f>
        <v/>
      </c>
    </row>
    <row r="6">
      <c r="B6" s="25" t="n">
        <v>0.0163139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($C$5*[1]Params!K8)</f>
        <v/>
      </c>
      <c r="P6" s="57">
        <f>(O6*N6)</f>
        <v/>
      </c>
      <c r="Q6" t="inlineStr">
        <is>
          <t>Done</t>
        </is>
      </c>
      <c r="R6" s="24">
        <f>B5+B13+B15+B17</f>
        <v/>
      </c>
      <c r="S6" s="57">
        <f>(T6/R6)</f>
        <v/>
      </c>
      <c r="T6" s="57">
        <f>D5-(-B13-B15)*15.13+B17*15.25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-B15</f>
        <v/>
      </c>
      <c r="O7" s="57">
        <f>P7/N7</f>
        <v/>
      </c>
      <c r="P7" s="57">
        <f>-D15</f>
        <v/>
      </c>
      <c r="Q7" t="inlineStr">
        <is>
          <t>Done</t>
        </is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24">
        <f>-B17</f>
        <v/>
      </c>
      <c r="O8" s="57">
        <f>P8/N8</f>
        <v/>
      </c>
      <c r="P8" s="57">
        <f>-D17</f>
        <v/>
      </c>
      <c r="Q8" t="inlineStr">
        <is>
          <t>Done</t>
        </is>
      </c>
      <c r="R8" s="24">
        <f>(B10)+B12+B14+B16</f>
        <v/>
      </c>
      <c r="S8" s="57">
        <f>(T8/R8)</f>
        <v/>
      </c>
      <c r="T8" s="57">
        <f>(D10)-(-B12-B14-B16)*14.31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4*($B$5+$R$7+R5)/5-N6-N7-N8</f>
        <v/>
      </c>
      <c r="O9" s="57">
        <f>($S$6*[1]Params!K11)</f>
        <v/>
      </c>
      <c r="P9" s="57">
        <f>(O9*N9)</f>
        <v/>
      </c>
      <c r="R9" s="24">
        <f>B12-B12</f>
        <v/>
      </c>
      <c r="S9" s="58" t="n">
        <v>0</v>
      </c>
      <c r="T9" s="58">
        <f>D12-B12*14.31</f>
        <v/>
      </c>
    </row>
    <row r="10">
      <c r="B10" s="24" t="n">
        <v>0.7101086</v>
      </c>
      <c r="C10" s="57">
        <f>(D10/B10)</f>
        <v/>
      </c>
      <c r="D10" s="57" t="n">
        <v>10.71</v>
      </c>
      <c r="E10" t="inlineStr">
        <is>
          <t>DCA4</t>
        </is>
      </c>
      <c r="R10" s="24">
        <f>B13-B13</f>
        <v/>
      </c>
      <c r="S10" s="58" t="n">
        <v>0</v>
      </c>
      <c r="T10" s="58">
        <f>D13-B13*15.13</f>
        <v/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  <c r="R11" s="24">
        <f>B14-B14</f>
        <v/>
      </c>
      <c r="S11" s="58" t="n">
        <v>0</v>
      </c>
      <c r="T11" s="58">
        <f>D14-B14*14.31</f>
        <v/>
      </c>
    </row>
    <row r="12">
      <c r="B12" s="24" t="n">
        <v>-0.1375</v>
      </c>
      <c r="C12" s="57">
        <f>(D12/B12)</f>
        <v/>
      </c>
      <c r="D12" s="57" t="n">
        <v>-2.54918818</v>
      </c>
      <c r="P12" s="57" t="n"/>
      <c r="R12" s="24">
        <f>B15-B15</f>
        <v/>
      </c>
      <c r="S12" s="58" t="n">
        <v>0</v>
      </c>
      <c r="T12" s="58">
        <f>D15-B15*15.13</f>
        <v/>
      </c>
    </row>
    <row r="13">
      <c r="B13" s="24" t="n">
        <v>-0.4967</v>
      </c>
      <c r="C13" s="57">
        <f>(D13/B13)</f>
        <v/>
      </c>
      <c r="D13" s="57" t="n">
        <v>-10.84507767</v>
      </c>
      <c r="P13" s="57" t="n"/>
      <c r="R13" s="24">
        <f>B16-B16</f>
        <v/>
      </c>
      <c r="S13" s="58" t="n">
        <v>0</v>
      </c>
      <c r="T13" s="58">
        <f>D16-B16*14.31</f>
        <v/>
      </c>
    </row>
    <row r="14">
      <c r="B14" s="24" t="n">
        <v>-0.137</v>
      </c>
      <c r="C14" s="57">
        <f>(D14/B14)</f>
        <v/>
      </c>
      <c r="D14" s="57">
        <f>-3.12512811</f>
        <v/>
      </c>
      <c r="P14" s="57" t="n"/>
      <c r="R14" s="24">
        <f>B17-B17</f>
        <v/>
      </c>
      <c r="T14" s="58">
        <f>D17-B17*15.25</f>
        <v/>
      </c>
    </row>
    <row r="15">
      <c r="B15" s="24" t="n">
        <v>-0.4967</v>
      </c>
      <c r="C15" s="57">
        <f>(D15/B15)</f>
        <v/>
      </c>
      <c r="D15" s="57" t="n">
        <v>-12.12691623</v>
      </c>
      <c r="P15" s="57" t="n"/>
    </row>
    <row r="16">
      <c r="B16" s="24" t="n">
        <v>-0.138</v>
      </c>
      <c r="C16" s="57">
        <f>(D16/B16)</f>
        <v/>
      </c>
      <c r="D16" s="57" t="n">
        <v>-4.41956614</v>
      </c>
      <c r="P16" s="57" t="n"/>
    </row>
    <row r="17">
      <c r="B17" s="24" t="n">
        <v>-0.5049</v>
      </c>
      <c r="C17" s="57">
        <f>(D17/B17)</f>
        <v/>
      </c>
      <c r="D17" s="57" t="n">
        <v>-18.26254246</v>
      </c>
      <c r="P17" s="57" t="n"/>
    </row>
    <row r="18">
      <c r="F18" t="inlineStr">
        <is>
          <t>Moy</t>
        </is>
      </c>
      <c r="G18" s="57">
        <f>(D19/B19)</f>
        <v/>
      </c>
    </row>
    <row r="19">
      <c r="B19" s="24">
        <f>(SUM(B5:B18))</f>
        <v/>
      </c>
      <c r="D19" s="57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7">
        <f>(SUM(T5:T18))</f>
        <v/>
      </c>
    </row>
    <row r="20">
      <c r="M20" t="inlineStr">
        <is>
          <t>Objectif</t>
        </is>
      </c>
      <c r="N20" s="24">
        <f>-B12</f>
        <v/>
      </c>
      <c r="O20" s="57">
        <f>18.6</f>
        <v/>
      </c>
      <c r="P20" s="57">
        <f>-D12</f>
        <v/>
      </c>
      <c r="Q20" t="inlineStr">
        <is>
          <t>Done</t>
        </is>
      </c>
    </row>
    <row r="21">
      <c r="N21" s="24">
        <f>-B14</f>
        <v/>
      </c>
      <c r="O21" s="57">
        <f>C14</f>
        <v/>
      </c>
      <c r="P21" s="57">
        <f>-D14</f>
        <v/>
      </c>
      <c r="Q21" t="inlineStr">
        <is>
          <t>Done</t>
        </is>
      </c>
    </row>
    <row r="22">
      <c r="N22" s="24">
        <f>-B16</f>
        <v/>
      </c>
      <c r="O22" s="57">
        <f>C16</f>
        <v/>
      </c>
      <c r="P22" s="57">
        <f>-D16</f>
        <v/>
      </c>
      <c r="Q22" t="inlineStr">
        <is>
          <t>Done</t>
        </is>
      </c>
    </row>
    <row r="23">
      <c r="N23" s="24">
        <f>4*($B$10)/5-N20-N21-N22</f>
        <v/>
      </c>
      <c r="O23" s="57">
        <f>($S$8*[1]Params!K11)</f>
        <v/>
      </c>
      <c r="P23" s="57">
        <f>(O23*N23)</f>
        <v/>
      </c>
    </row>
    <row r="24"/>
    <row r="25">
      <c r="P25" s="57">
        <f>(SUM(P20:P23))</f>
        <v/>
      </c>
    </row>
    <row r="26"/>
    <row r="27"/>
    <row r="28"/>
    <row r="29"/>
    <row r="30"/>
    <row r="31"/>
    <row r="32">
      <c r="R32" s="58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0.003322708525934878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8">
        <f>(D5)</f>
        <v/>
      </c>
    </row>
    <row r="6">
      <c r="B6" s="19" t="n">
        <v>-170.21276596</v>
      </c>
      <c r="C6" s="80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7">
        <f>(O6*N6)</f>
        <v/>
      </c>
      <c r="R6" s="19">
        <f>(SUM(B6:B11))</f>
        <v/>
      </c>
      <c r="S6" s="80" t="n">
        <v>0</v>
      </c>
      <c r="T6" s="58">
        <f>(SUM(D6:D11))</f>
        <v/>
      </c>
    </row>
    <row r="7">
      <c r="B7" s="19" t="n">
        <v>-175.57251908</v>
      </c>
      <c r="C7" s="80">
        <f>(D7/B7)</f>
        <v/>
      </c>
      <c r="D7" s="57" t="n">
        <v>-0.893567</v>
      </c>
      <c r="N7" s="19">
        <f>(($B$5+$R$6)/5)</f>
        <v/>
      </c>
      <c r="O7" s="80">
        <f>($C$5*[1]Params!K9)</f>
        <v/>
      </c>
      <c r="P7" s="57">
        <f>(O7*N7)</f>
        <v/>
      </c>
      <c r="S7" s="80" t="n"/>
    </row>
    <row r="8">
      <c r="B8" s="19" t="n">
        <v>-167.7852349</v>
      </c>
      <c r="C8" s="80">
        <f>(D8/B8)</f>
        <v/>
      </c>
      <c r="D8" s="57" t="n">
        <v>-1.213721</v>
      </c>
      <c r="N8" s="19">
        <f>(($B$5+$R$6)/5)</f>
        <v/>
      </c>
      <c r="O8" s="80">
        <f>($C$5*[1]Params!K10)</f>
        <v/>
      </c>
      <c r="P8" s="57">
        <f>(O8*N8)</f>
        <v/>
      </c>
    </row>
    <row r="9">
      <c r="B9" s="19" t="n">
        <v>196.03891277</v>
      </c>
      <c r="C9" s="80">
        <f>(D9/B9)</f>
        <v/>
      </c>
      <c r="D9" s="57" t="n">
        <v>1.130011</v>
      </c>
      <c r="N9" s="19">
        <f>(($B$5+$R$6)/5)</f>
        <v/>
      </c>
      <c r="O9" s="80">
        <f>($C$5*[1]Params!K11)</f>
        <v/>
      </c>
      <c r="P9" s="57">
        <f>(O9*N9)</f>
        <v/>
      </c>
    </row>
    <row r="10">
      <c r="B10" s="19" t="n">
        <v>197.79050008</v>
      </c>
      <c r="C10" s="80">
        <f>(D10/B10)</f>
        <v/>
      </c>
      <c r="D10" s="57" t="n">
        <v>0.85006</v>
      </c>
    </row>
    <row r="11">
      <c r="B11" s="19" t="n">
        <v>191.37734579</v>
      </c>
      <c r="C11" s="80">
        <f>(D11/B11)</f>
        <v/>
      </c>
      <c r="D11" s="57" t="n">
        <v>0.737757</v>
      </c>
    </row>
    <row r="12">
      <c r="F12" t="inlineStr">
        <is>
          <t>Moy</t>
        </is>
      </c>
      <c r="G12" s="80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5">
      <c r="R15">
        <f>(SUM(R5:R14))</f>
        <v/>
      </c>
      <c r="T15" s="58">
        <f>(SUM(T5:T14))</f>
        <v/>
      </c>
    </row>
    <row r="19">
      <c r="K19" s="58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7" t="n">
        <v>300.7334859841672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7">
        <f>(T5/R5)</f>
        <v/>
      </c>
      <c r="T5" s="57">
        <f>(D5+D13+D9)</f>
        <v/>
      </c>
    </row>
    <row r="6">
      <c r="B6" s="81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($S$8*[1]Params!K8)</f>
        <v/>
      </c>
      <c r="P6" s="57">
        <f>(O6*N6)</f>
        <v/>
      </c>
      <c r="R6" s="81">
        <f>(B6)</f>
        <v/>
      </c>
      <c r="S6" s="57">
        <f>(C6)</f>
        <v/>
      </c>
      <c r="T6" s="57">
        <f>(R6*S6)</f>
        <v/>
      </c>
    </row>
    <row r="7">
      <c r="B7" s="81" t="n">
        <v>0.000235</v>
      </c>
      <c r="C7" s="57" t="n">
        <v>0</v>
      </c>
      <c r="D7" s="57" t="n">
        <v>0</v>
      </c>
      <c r="E7" s="57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7">
        <f>($S$8*[1]Params!K9)</f>
        <v/>
      </c>
      <c r="P7" s="57">
        <f>(O7*N7)</f>
        <v/>
      </c>
      <c r="R7" s="81">
        <f>(B7+B8+B10)</f>
        <v/>
      </c>
      <c r="S7" s="57">
        <f>(C7)</f>
        <v/>
      </c>
      <c r="T7" s="57">
        <f>(R7*S7)</f>
        <v/>
      </c>
    </row>
    <row r="8">
      <c r="B8" s="81" t="n">
        <v>9.498e-05</v>
      </c>
      <c r="C8" s="57" t="n">
        <v>0</v>
      </c>
      <c r="D8" s="57" t="n">
        <v>0</v>
      </c>
      <c r="E8" s="57">
        <f>(B8*J3)</f>
        <v/>
      </c>
      <c r="I8" t="inlineStr">
        <is>
          <t>Difference</t>
        </is>
      </c>
      <c r="J8" s="81">
        <f>(J7-B17)</f>
        <v/>
      </c>
      <c r="N8" s="24">
        <f>($R$8/5)</f>
        <v/>
      </c>
      <c r="O8" s="57">
        <f>($S$8*[1]Params!K10)</f>
        <v/>
      </c>
      <c r="P8" s="57">
        <f>(O8*N8)</f>
        <v/>
      </c>
      <c r="R8" s="81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81" t="n">
        <v>9.092e-05</v>
      </c>
      <c r="C9" s="57" t="n">
        <v>276</v>
      </c>
      <c r="D9" s="57">
        <f>(B9*C9)</f>
        <v/>
      </c>
      <c r="E9" s="57" t="n"/>
      <c r="I9" t="inlineStr">
        <is>
          <t>Diff in $</t>
        </is>
      </c>
      <c r="J9" s="62">
        <f>(J8*J3)</f>
        <v/>
      </c>
      <c r="N9" s="24">
        <f>($R$8/5)</f>
        <v/>
      </c>
      <c r="O9" s="57">
        <f>($S$8*[1]Params!K11)</f>
        <v/>
      </c>
      <c r="P9" s="57">
        <f>(O9*N9)</f>
        <v/>
      </c>
      <c r="R9" s="81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82" t="n">
        <v>0.00244024</v>
      </c>
      <c r="C10" s="60" t="n">
        <v>0</v>
      </c>
      <c r="D10" s="61" t="n">
        <v>0</v>
      </c>
      <c r="E10" s="57">
        <f>(B10*J3)</f>
        <v/>
      </c>
      <c r="P10" s="57" t="n"/>
      <c r="R10" s="81">
        <f>B14+B15</f>
        <v/>
      </c>
      <c r="S10" s="57" t="n">
        <v>0</v>
      </c>
      <c r="T10" s="58">
        <f>D14+D15</f>
        <v/>
      </c>
    </row>
    <row r="11">
      <c r="B11" s="81" t="n">
        <v>0.56393247</v>
      </c>
      <c r="C11" s="57">
        <f>(D11/B11)</f>
        <v/>
      </c>
      <c r="D11" s="57" t="n">
        <v>160.17</v>
      </c>
      <c r="E11" t="inlineStr">
        <is>
          <t>DCA1</t>
        </is>
      </c>
      <c r="P11" s="57">
        <f>(SUM(P6:P9))</f>
        <v/>
      </c>
    </row>
    <row r="12">
      <c r="B12" s="81" t="n">
        <v>0.14160213</v>
      </c>
      <c r="C12" s="57">
        <f>(D12/B12)</f>
        <v/>
      </c>
      <c r="D12" s="57" t="n">
        <v>40.3</v>
      </c>
      <c r="E12" t="inlineStr">
        <is>
          <t>DCA2</t>
        </is>
      </c>
    </row>
    <row r="13">
      <c r="B13" s="81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24">
        <f>($R$9/5)</f>
        <v/>
      </c>
      <c r="O14" s="57">
        <f>($S$9*[1]Params!K8)</f>
        <v/>
      </c>
      <c r="P14" s="57">
        <f>(O14*N14)</f>
        <v/>
      </c>
    </row>
    <row r="15">
      <c r="B15" s="81" t="n">
        <v>-0.294</v>
      </c>
      <c r="C15" s="57">
        <f>(D15/B15)</f>
        <v/>
      </c>
      <c r="D15" s="57" t="n">
        <v>-71.95797</v>
      </c>
      <c r="N15" s="24">
        <f>($R$9/5)</f>
        <v/>
      </c>
      <c r="O15" s="57">
        <f>($S$9*[1]Params!K9)</f>
        <v/>
      </c>
      <c r="P15" s="57">
        <f>(O15*N15)</f>
        <v/>
      </c>
    </row>
    <row r="16">
      <c r="N16" s="24">
        <f>($R$9/5)</f>
        <v/>
      </c>
      <c r="O16" s="57">
        <f>($S$9*[1]Params!K10)</f>
        <v/>
      </c>
      <c r="P16" s="57">
        <f>(O16*N16)</f>
        <v/>
      </c>
    </row>
    <row r="17">
      <c r="B17" s="81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24">
        <f>($R$9/5)</f>
        <v/>
      </c>
      <c r="O17" s="57">
        <f>($S$9*[1]Params!K11)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/>
    <row r="22">
      <c r="N22" s="24" t="n"/>
      <c r="O22" s="57" t="n"/>
      <c r="P22" s="57" t="n"/>
    </row>
    <row r="23">
      <c r="N23" s="24" t="n"/>
      <c r="O23" s="57" t="n"/>
      <c r="P23" s="57" t="n"/>
    </row>
    <row r="24">
      <c r="N24" s="24" t="n"/>
      <c r="O24" s="57" t="n"/>
      <c r="P24" s="57" t="n"/>
    </row>
    <row r="25">
      <c r="N25" s="24" t="n"/>
      <c r="O25" s="57" t="n"/>
      <c r="P25" s="57" t="n"/>
    </row>
    <row r="26">
      <c r="P26" s="57" t="n"/>
    </row>
    <row r="27">
      <c r="P27" s="57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7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0.07887532999911162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0.28129997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67">
        <f>($B$13/5)</f>
        <v/>
      </c>
      <c r="O6" s="57">
        <f>($C$5*[1]Params!K8)</f>
        <v/>
      </c>
      <c r="P6" s="57">
        <f>(O6*N6)</f>
        <v/>
      </c>
    </row>
    <row r="7">
      <c r="N7" s="67">
        <f>($B$13/5)</f>
        <v/>
      </c>
      <c r="O7" s="57">
        <f>($C$5*[1]Params!K9)</f>
        <v/>
      </c>
      <c r="P7" s="57">
        <f>(O7*N7)</f>
        <v/>
      </c>
    </row>
    <row r="8">
      <c r="N8" s="67">
        <f>($B$13/5)</f>
        <v/>
      </c>
      <c r="O8" s="57">
        <f>($C$5*[1]Params!K10)</f>
        <v/>
      </c>
      <c r="P8" s="57">
        <f>(O8*N8)</f>
        <v/>
      </c>
    </row>
    <row r="9">
      <c r="N9" s="67">
        <f>($B$13/5)</f>
        <v/>
      </c>
      <c r="O9" s="57">
        <f>($C$5*[1]Params!K11)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67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7.127900318161252</v>
      </c>
      <c r="M3" t="inlineStr">
        <is>
          <t>Objectif :</t>
        </is>
      </c>
      <c r="N3" s="24">
        <f>(INDEX(N5:N17,MATCH(MAX(O6),O5:O17,0))/0.85)</f>
        <v/>
      </c>
      <c r="O3" s="58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25" t="n">
        <v>0.07463943000000001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24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24">
        <f>B5+B11</f>
        <v/>
      </c>
      <c r="S6" s="57">
        <f>(T6/R6)</f>
        <v/>
      </c>
      <c r="T6" s="57">
        <f>D5+B11*5.54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2*($B$15+$N$6)/5-$N$6</f>
        <v/>
      </c>
      <c r="O7" s="57">
        <f>($C$5*[1]Params!K9)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(-0.2134+N16)</f>
        <v/>
      </c>
      <c r="C8" s="57">
        <f>(D8/B8)</f>
        <v/>
      </c>
      <c r="D8" s="57">
        <f>(-1.27565659-D9)</f>
        <v/>
      </c>
      <c r="N8" s="24">
        <f>2*($B$15+$N$6)/5-$N$6</f>
        <v/>
      </c>
      <c r="O8" s="57">
        <f>($C$5*[1]Params!K10)</f>
        <v/>
      </c>
      <c r="P8" s="57">
        <f>(O8*N8)</f>
        <v/>
      </c>
      <c r="R8" s="24">
        <f>SUM(B8:B10)+B13+B12</f>
        <v/>
      </c>
      <c r="S8" s="57">
        <f>(T8/R8)</f>
        <v/>
      </c>
      <c r="T8" s="57">
        <f>SUM(D8:D10)+D12+D13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2*($B$15+$N$6)/5-$N$6</f>
        <v/>
      </c>
      <c r="O9" s="57">
        <f>($C$5*[1]Params!K11)</f>
        <v/>
      </c>
      <c r="P9" s="57">
        <f>(O9*N9)</f>
        <v/>
      </c>
      <c r="R9" s="24">
        <f>B11-B11</f>
        <v/>
      </c>
      <c r="S9" s="57" t="n">
        <v>0</v>
      </c>
      <c r="T9" s="58">
        <f>D11-B11*5.54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  <c r="R10" s="24" t="n"/>
      <c r="S10" s="57" t="n"/>
      <c r="T10" s="58" t="n"/>
    </row>
    <row r="11">
      <c r="B11" s="24" t="n">
        <v>-1.3731</v>
      </c>
      <c r="C11" s="57">
        <f>(D11/B11)</f>
        <v/>
      </c>
      <c r="D11" s="57">
        <f>-9.89434222</f>
        <v/>
      </c>
      <c r="N11" s="24" t="n"/>
      <c r="P11" s="57" t="n"/>
    </row>
    <row r="12">
      <c r="B12" s="24" t="n">
        <v>-1.53</v>
      </c>
      <c r="C12" s="57">
        <f>(D12/B12)</f>
        <v/>
      </c>
      <c r="D12" s="57" t="n">
        <v>-13.78562829</v>
      </c>
      <c r="N12" s="24" t="n"/>
      <c r="P12" s="57">
        <f>(SUM(P6:P9))</f>
        <v/>
      </c>
    </row>
    <row r="13">
      <c r="B13" s="24" t="n">
        <v>1.7</v>
      </c>
      <c r="C13" s="57">
        <f>(D13/B13)</f>
        <v/>
      </c>
      <c r="D13" s="57" t="n">
        <v>12.6519626</v>
      </c>
      <c r="N13" s="24" t="n"/>
      <c r="P13" s="57" t="n"/>
    </row>
    <row r="14">
      <c r="F14" t="inlineStr">
        <is>
          <t>Moy</t>
        </is>
      </c>
      <c r="G14" s="57">
        <f>(D15/B15)</f>
        <v/>
      </c>
      <c r="N14" s="24" t="n"/>
      <c r="P14" s="57" t="n"/>
      <c r="R14" s="24">
        <f>(SUM(R5:R12))</f>
        <v/>
      </c>
      <c r="T14" s="57">
        <f>(SUM(T5:T12))</f>
        <v/>
      </c>
    </row>
    <row r="15">
      <c r="B15">
        <f>(SUM(B5:B14))</f>
        <v/>
      </c>
      <c r="D15" s="57">
        <f>(SUM(D5:D14))</f>
        <v/>
      </c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N19" s="24" t="n"/>
      <c r="O19" s="57" t="n"/>
      <c r="P19" s="57" t="n"/>
    </row>
    <row r="20">
      <c r="P20" s="57" t="n"/>
    </row>
    <row r="21">
      <c r="P21" s="57" t="n"/>
    </row>
    <row r="22">
      <c r="P22" s="57" t="n"/>
    </row>
    <row r="23"/>
    <row r="24"/>
    <row r="25"/>
    <row r="26"/>
    <row r="27"/>
    <row r="28">
      <c r="G28" s="58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53.39653927708127</v>
      </c>
      <c r="M3" t="inlineStr">
        <is>
          <t>Objectif :</t>
        </is>
      </c>
      <c r="N3" s="24">
        <f>(INDEX(N5:N16,MATCH(MAX(O6),O5:O16,0))/0.85)</f>
        <v/>
      </c>
      <c r="O3" s="58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5" t="n">
        <v>0.00294957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24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7">
        <f>D7/B7</f>
        <v/>
      </c>
      <c r="D7" s="57">
        <f>-1.42154421</f>
        <v/>
      </c>
      <c r="N7" s="24">
        <f>2*($B$13-$B$7)/5+$B$7</f>
        <v/>
      </c>
      <c r="O7" s="57">
        <f>($C$5*[1]Params!K9)</f>
        <v/>
      </c>
      <c r="P7" s="57">
        <f>(O7*N7)</f>
        <v/>
      </c>
      <c r="R7" s="1">
        <f>B7</f>
        <v/>
      </c>
      <c r="S7" s="57" t="n">
        <v>0</v>
      </c>
      <c r="T7" s="57">
        <f>(D7)</f>
        <v/>
      </c>
    </row>
    <row r="8">
      <c r="B8" s="24">
        <f>-0.0247</f>
        <v/>
      </c>
      <c r="C8" s="57">
        <f>D8/B8</f>
        <v/>
      </c>
      <c r="D8" s="57" t="n">
        <v>-1.70058209</v>
      </c>
      <c r="N8" s="24">
        <f>2*($B$13-$B$7)/5+$B$7</f>
        <v/>
      </c>
      <c r="O8" s="57">
        <f>($C$5*[1]Params!K10)</f>
        <v/>
      </c>
      <c r="P8" s="57">
        <f>(O8*N8)</f>
        <v/>
      </c>
      <c r="R8" s="1">
        <f>(B8)+B9</f>
        <v/>
      </c>
      <c r="S8" s="57" t="n">
        <v>0</v>
      </c>
      <c r="T8" s="57">
        <f>(D8)+D9</f>
        <v/>
      </c>
    </row>
    <row r="9">
      <c r="B9" s="24">
        <f>0.02974335</f>
        <v/>
      </c>
      <c r="C9" s="57">
        <f>D9/B9</f>
        <v/>
      </c>
      <c r="D9" s="57" t="n">
        <v>1.706456</v>
      </c>
      <c r="N9" s="24">
        <f>2*($B$13-$B$7)/5+$B$7</f>
        <v/>
      </c>
      <c r="O9" s="57">
        <f>($C$5*[1]Params!K11)</f>
        <v/>
      </c>
      <c r="P9" s="57">
        <f>(O9*N9)</f>
        <v/>
      </c>
      <c r="R9" s="1" t="n"/>
      <c r="S9" s="57" t="n"/>
      <c r="T9" s="57" t="n"/>
    </row>
    <row r="10">
      <c r="R10" s="1" t="n"/>
      <c r="S10" s="57" t="n"/>
      <c r="T10" s="57" t="n"/>
    </row>
    <row r="11">
      <c r="P11" s="57">
        <f>(SUM(P6:P9))</f>
        <v/>
      </c>
      <c r="R11" s="1" t="n"/>
      <c r="S11" s="57" t="n"/>
      <c r="T11" s="58" t="n"/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0.1621024497267207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77">
        <f>(D6/B6)</f>
        <v/>
      </c>
      <c r="D6" s="57" t="n">
        <v>-0.983378</v>
      </c>
      <c r="M6" t="inlineStr">
        <is>
          <t>Objectif</t>
        </is>
      </c>
      <c r="N6" s="67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67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77">
        <f>(D7/B7)</f>
        <v/>
      </c>
      <c r="D7" s="57" t="n">
        <v>-1.217268</v>
      </c>
      <c r="N7" s="67">
        <f>-B11</f>
        <v/>
      </c>
      <c r="O7" s="57">
        <f>($C$5*[1]Params!K9)</f>
        <v/>
      </c>
      <c r="P7" s="57">
        <f>-D11</f>
        <v/>
      </c>
      <c r="Q7" t="inlineStr">
        <is>
          <t>Done</t>
        </is>
      </c>
      <c r="R7" s="67">
        <f>B7+B10+B8+B9</f>
        <v/>
      </c>
      <c r="S7" s="57">
        <f>(C7)</f>
        <v/>
      </c>
      <c r="T7" s="57">
        <f>D7+D10+D8+D9</f>
        <v/>
      </c>
    </row>
    <row r="8">
      <c r="B8" s="19" t="n">
        <v>-12.62063846</v>
      </c>
      <c r="C8" s="77">
        <f>(D8/B8)</f>
        <v/>
      </c>
      <c r="D8" s="57" t="n">
        <v>-1.656203</v>
      </c>
      <c r="N8" s="67">
        <f>3*($B$5+$R$7)/5-N7-N6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67">
        <f>B11</f>
        <v/>
      </c>
      <c r="S8" s="57">
        <f>T8/R8</f>
        <v/>
      </c>
      <c r="T8" s="57">
        <f>D11</f>
        <v/>
      </c>
    </row>
    <row r="9">
      <c r="B9" s="19" t="n">
        <v>15.03715876</v>
      </c>
      <c r="C9" s="77">
        <f>(D9/B9)</f>
        <v/>
      </c>
      <c r="D9" s="57" t="n">
        <v>1.549163</v>
      </c>
      <c r="N9" s="67">
        <f>4*($R$5+$R$7)/5+B12-N7-N6</f>
        <v/>
      </c>
      <c r="O9" s="57">
        <f>($C$5*[1]Params!K11)</f>
        <v/>
      </c>
      <c r="P9" s="57">
        <f>(O9*N9)</f>
        <v/>
      </c>
      <c r="R9" s="24">
        <f>B12</f>
        <v/>
      </c>
      <c r="S9" s="57">
        <f>T9/R9</f>
        <v/>
      </c>
      <c r="T9" s="57">
        <f>D12</f>
        <v/>
      </c>
    </row>
    <row r="10">
      <c r="B10" s="19" t="n">
        <v>14.46759533</v>
      </c>
      <c r="C10" s="77">
        <f>(D10/B10)</f>
        <v/>
      </c>
      <c r="D10" s="57" t="n">
        <v>1.150414</v>
      </c>
      <c r="N10" s="67" t="n"/>
      <c r="O10" s="57" t="n"/>
      <c r="P10" s="57" t="n"/>
      <c r="R10" s="24" t="n"/>
      <c r="S10" s="57" t="n"/>
      <c r="T10" s="57" t="n"/>
    </row>
    <row r="11">
      <c r="B11" s="19" t="n">
        <v>-12.55901794</v>
      </c>
      <c r="C11" s="77">
        <f>D11/B11</f>
        <v/>
      </c>
      <c r="D11" s="57">
        <f>-1.294159</f>
        <v/>
      </c>
      <c r="N11" s="67" t="n"/>
      <c r="O11" s="57" t="n"/>
      <c r="P11" s="57" t="n"/>
      <c r="R11" s="24" t="n"/>
      <c r="S11" s="57" t="n"/>
      <c r="T11" s="57" t="n"/>
    </row>
    <row r="12">
      <c r="B12" s="19" t="n">
        <v>-15.85623679</v>
      </c>
      <c r="C12" s="77">
        <f>D12/B12</f>
        <v/>
      </c>
      <c r="D12" s="57" t="n">
        <v>-2.201892</v>
      </c>
      <c r="N12" s="67" t="n"/>
      <c r="O12" s="57" t="n"/>
      <c r="P12" s="57" t="n"/>
      <c r="R12" s="24" t="n"/>
      <c r="S12" s="57" t="n"/>
      <c r="T12" s="57" t="n"/>
    </row>
    <row r="13">
      <c r="C13" s="57" t="n"/>
      <c r="D13" s="57" t="n"/>
      <c r="F13" t="inlineStr">
        <is>
          <t>Moy</t>
        </is>
      </c>
      <c r="G13" s="57">
        <f>(D14/B14)</f>
        <v/>
      </c>
      <c r="O13" s="57" t="n"/>
      <c r="P13" s="57">
        <f>(SUM(P6:P9))</f>
        <v/>
      </c>
      <c r="R13" s="24" t="n"/>
      <c r="S13" s="57" t="n"/>
      <c r="T13" s="57" t="n"/>
    </row>
    <row r="14">
      <c r="B14" s="19">
        <f>(SUM(B5:B13))</f>
        <v/>
      </c>
      <c r="C14" s="57" t="n"/>
      <c r="D14" s="57">
        <f>(SUM(D5:D13))</f>
        <v/>
      </c>
      <c r="O14" s="57" t="n"/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</row>
    <row r="22">
      <c r="R22" s="24" t="n"/>
      <c r="S22" s="57" t="n"/>
      <c r="T22" s="57" t="n"/>
    </row>
    <row r="23">
      <c r="R23" s="24" t="n"/>
      <c r="S23" s="57" t="n"/>
      <c r="T23" s="57" t="n"/>
    </row>
    <row r="24">
      <c r="R24" s="24" t="n"/>
      <c r="S24" s="57" t="n"/>
      <c r="T24" s="57" t="n"/>
      <c r="V24" s="58" t="n"/>
    </row>
    <row r="26">
      <c r="S26" s="57" t="n"/>
      <c r="T26" s="57" t="n"/>
    </row>
    <row r="27">
      <c r="L27" s="58" t="n"/>
      <c r="M27" s="58" t="n"/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R33" s="24">
        <f>(SUM(R5:R31))</f>
        <v/>
      </c>
      <c r="S33" s="57" t="n"/>
      <c r="T33" s="57">
        <f>(SUM(T5:T31))</f>
        <v/>
      </c>
      <c r="V33" t="inlineStr">
        <is>
          <t>Moy</t>
        </is>
      </c>
      <c r="W33" s="57">
        <f>(T33/R33)</f>
        <v/>
      </c>
    </row>
    <row r="34">
      <c r="S34" s="57" t="n"/>
      <c r="T34" s="57" t="n"/>
    </row>
    <row r="35">
      <c r="S35" s="57" t="n"/>
      <c r="T35" s="57" t="n"/>
    </row>
    <row r="36">
      <c r="S36" s="57" t="n"/>
      <c r="T36" s="57" t="n"/>
    </row>
    <row r="37">
      <c r="S37" s="57" t="n"/>
      <c r="T37" s="57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46026.00869677333</v>
      </c>
      <c r="M3" t="inlineStr">
        <is>
          <t>Objectif :</t>
        </is>
      </c>
      <c r="N3">
        <f>(INDEX((N8:N67),MATCH(O3/0.85,O8:O67,0))/0.9)</f>
        <v/>
      </c>
      <c r="O3" s="58">
        <f>(MAX(O8,O16:O18,O48,O24,O32,O40,O56,O64)*0.85)</f>
        <v/>
      </c>
      <c r="P3" s="6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S5" s="24">
        <f>(B5)</f>
        <v/>
      </c>
      <c r="T5" s="57" t="n">
        <v>41500</v>
      </c>
      <c r="U5" s="57">
        <f>(S5*T5)</f>
        <v/>
      </c>
    </row>
    <row r="6">
      <c r="B6" s="25" t="n">
        <v>0.00035191</v>
      </c>
      <c r="C6" s="60" t="n">
        <v>0</v>
      </c>
      <c r="D6" s="61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7" t="n">
        <v>0</v>
      </c>
      <c r="U6" s="57">
        <f>(S6*T6)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 s="63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7">
        <f>(U7/S7)</f>
        <v/>
      </c>
      <c r="U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2">
        <f>(J7*J3)</f>
        <v/>
      </c>
      <c r="M8" t="inlineStr">
        <is>
          <t>Objectif</t>
        </is>
      </c>
      <c r="N8">
        <f>($B$16/5)</f>
        <v/>
      </c>
      <c r="O8" s="57">
        <f>(C26)</f>
        <v/>
      </c>
      <c r="P8" s="62">
        <f>(O8*N8)</f>
        <v/>
      </c>
      <c r="Q8" t="inlineStr">
        <is>
          <t>Done</t>
        </is>
      </c>
      <c r="S8" s="24">
        <f>(B8)</f>
        <v/>
      </c>
      <c r="T8" s="57">
        <f>(U8/S8)</f>
        <v/>
      </c>
      <c r="U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N9">
        <f>($B$16/5)</f>
        <v/>
      </c>
      <c r="O9" s="57">
        <f>($C$16*[1]Params!K16)</f>
        <v/>
      </c>
      <c r="P9" s="62">
        <f>(O9*N9)</f>
        <v/>
      </c>
      <c r="S9" s="24">
        <f>(B9)</f>
        <v/>
      </c>
      <c r="T9" s="57">
        <f>(U9/S9)</f>
        <v/>
      </c>
      <c r="U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N10">
        <f>($B$16/5)</f>
        <v/>
      </c>
      <c r="O10" s="57">
        <f>($C$16*[1]Params!K17)</f>
        <v/>
      </c>
      <c r="P10" s="62">
        <f>(O10*N10)</f>
        <v/>
      </c>
      <c r="S10" s="24">
        <f>(B10)</f>
        <v/>
      </c>
      <c r="T10" s="57" t="n">
        <v>20458</v>
      </c>
      <c r="U10" s="57">
        <f>(T10*S10)</f>
        <v/>
      </c>
    </row>
    <row r="11">
      <c r="B11" s="24" t="n">
        <v>0.00051</v>
      </c>
      <c r="C11" s="57" t="n">
        <v>19873.31</v>
      </c>
      <c r="D11" s="57">
        <f>(C11*B11)</f>
        <v/>
      </c>
      <c r="N11">
        <f>($B$16/5)</f>
        <v/>
      </c>
      <c r="O11" s="57">
        <f>($C$16*[1]Params!K18)</f>
        <v/>
      </c>
      <c r="P11" s="62">
        <f>(O11*N11)</f>
        <v/>
      </c>
      <c r="S11" s="24">
        <f>(B12)</f>
        <v/>
      </c>
      <c r="T11" s="57" t="n">
        <v>19169.31</v>
      </c>
      <c r="U11" s="57">
        <f>(T11*S11)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S12" s="24">
        <f>(B13+B11+B14)</f>
        <v/>
      </c>
      <c r="T12" s="57">
        <f>(U12/S12)</f>
        <v/>
      </c>
      <c r="U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P13" s="62">
        <f>(SUM(P8:P11))</f>
        <v/>
      </c>
      <c r="S13" s="24">
        <f>(B15)</f>
        <v/>
      </c>
      <c r="T13" s="57" t="n">
        <v>18969</v>
      </c>
      <c r="U13" s="57">
        <f>(T13*S13)</f>
        <v/>
      </c>
    </row>
    <row r="14">
      <c r="B14" s="24" t="n">
        <v>0.00054</v>
      </c>
      <c r="C14" s="57" t="n">
        <v>19000</v>
      </c>
      <c r="D14" s="57">
        <f>(C14*B14)</f>
        <v/>
      </c>
      <c r="S14" s="24">
        <f>(B16+B26)</f>
        <v/>
      </c>
      <c r="T14" s="57">
        <f>(U14/S14)</f>
        <v/>
      </c>
      <c r="U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7">
        <f>(U15/S15)</f>
        <v/>
      </c>
      <c r="U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Objectif</t>
        </is>
      </c>
      <c r="N16">
        <f>($B$17/5)</f>
        <v/>
      </c>
      <c r="O16" s="57">
        <f>(C18)</f>
        <v/>
      </c>
      <c r="P16" s="62">
        <f>(O16*N16)</f>
        <v/>
      </c>
      <c r="Q16" t="inlineStr">
        <is>
          <t>Done</t>
        </is>
      </c>
      <c r="S16" s="24">
        <f>(B19+B27)</f>
        <v/>
      </c>
      <c r="T16" s="57">
        <f>(U16/S16)</f>
        <v/>
      </c>
      <c r="U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N17">
        <f>($B$17/5)</f>
        <v/>
      </c>
      <c r="O17" s="57">
        <f>(C21)</f>
        <v/>
      </c>
      <c r="P17" s="62">
        <f>(O17*N17)</f>
        <v/>
      </c>
      <c r="Q17" t="inlineStr">
        <is>
          <t>Done</t>
        </is>
      </c>
      <c r="S17" s="24">
        <f>(B20+B28)</f>
        <v/>
      </c>
      <c r="T17" s="57">
        <f>(U17/S17)</f>
        <v/>
      </c>
      <c r="U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N18">
        <f>($B$17/5)</f>
        <v/>
      </c>
      <c r="O18" s="57">
        <f>(C33)</f>
        <v/>
      </c>
      <c r="P18" s="62">
        <f>(O18*N18)</f>
        <v/>
      </c>
      <c r="Q18" t="inlineStr">
        <is>
          <t>Done</t>
        </is>
      </c>
      <c r="S18" s="24">
        <f>(B22+B27)</f>
        <v/>
      </c>
      <c r="T18" s="57">
        <f>(U18/S18)</f>
        <v/>
      </c>
      <c r="U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N19">
        <f>($B$17/5)</f>
        <v/>
      </c>
      <c r="O19" s="57">
        <f>($C$17*[1]Params!K18)</f>
        <v/>
      </c>
      <c r="P19" s="62">
        <f>(O19*N19)</f>
        <v/>
      </c>
      <c r="S19" s="24">
        <f>(B23+B32)</f>
        <v/>
      </c>
      <c r="T19" s="57">
        <f>(U19/S19)</f>
        <v/>
      </c>
      <c r="U19" s="57">
        <f>(D23+17438.6*B32)</f>
        <v/>
      </c>
      <c r="V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S20" s="24">
        <f>(B24+B31)</f>
        <v/>
      </c>
      <c r="T20" s="57">
        <f>(U20/S20)</f>
        <v/>
      </c>
      <c r="U20" s="57">
        <f>(D24+17211.7*B31)</f>
        <v/>
      </c>
      <c r="V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P21" s="62">
        <f>(SUM(P16:P19))</f>
        <v/>
      </c>
      <c r="S21" s="24">
        <f>(B25+B30)</f>
        <v/>
      </c>
      <c r="T21" s="57">
        <f>(U21/S21)</f>
        <v/>
      </c>
      <c r="U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S22" s="24">
        <f>(B31-B31)</f>
        <v/>
      </c>
      <c r="T22" s="57" t="n">
        <v>0</v>
      </c>
      <c r="U22" s="57">
        <f>(17211.7*-B31+D31)</f>
        <v/>
      </c>
      <c r="V22" t="inlineStr">
        <is>
          <t>DCA2 1/5</t>
        </is>
      </c>
    </row>
    <row r="23">
      <c r="B23" s="24" t="n">
        <v>0.00699648</v>
      </c>
      <c r="C23" s="57">
        <f>(D23/B23)</f>
        <v/>
      </c>
      <c r="D23" s="57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7" t="n">
        <v>0</v>
      </c>
      <c r="U23" s="57">
        <f>(17438.6*-B32+D32)</f>
        <v/>
      </c>
      <c r="V23" t="inlineStr">
        <is>
          <t>DCA1 1/5</t>
        </is>
      </c>
    </row>
    <row r="24">
      <c r="B24" s="24" t="n">
        <v>0.00155952</v>
      </c>
      <c r="C24" s="57">
        <f>(D24/B24)</f>
        <v/>
      </c>
      <c r="D24" s="57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7">
        <f>(C27)</f>
        <v/>
      </c>
      <c r="P24" s="62">
        <f>(O24*N24)</f>
        <v/>
      </c>
      <c r="Q24" t="inlineStr">
        <is>
          <t>Done</t>
        </is>
      </c>
      <c r="S24" s="24">
        <f>(B34)</f>
        <v/>
      </c>
      <c r="T24" s="57">
        <f>(U24/S24)</f>
        <v/>
      </c>
      <c r="U24" s="57">
        <f>(D34)</f>
        <v/>
      </c>
      <c r="V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N25">
        <f>($B$19/5)</f>
        <v/>
      </c>
      <c r="O25" s="57">
        <f>($C$19*[1]Params!K16)</f>
        <v/>
      </c>
      <c r="P25" s="62">
        <f>(O25*N25)</f>
        <v/>
      </c>
    </row>
    <row r="26">
      <c r="B26" s="24" t="n">
        <v>-0.000336</v>
      </c>
      <c r="C26" s="57">
        <f>(D26/B26)</f>
        <v/>
      </c>
      <c r="D26" s="57">
        <f>(-7.04895293)</f>
        <v/>
      </c>
      <c r="N26">
        <f>($B$19/5)</f>
        <v/>
      </c>
      <c r="O26" s="57">
        <f>($C$19*[1]Params!K17)</f>
        <v/>
      </c>
      <c r="P26" s="62">
        <f>(O26*N26)</f>
        <v/>
      </c>
    </row>
    <row r="27">
      <c r="B27" s="24" t="n">
        <v>-0.00012</v>
      </c>
      <c r="C27" s="57" t="n">
        <v>20900</v>
      </c>
      <c r="D27" s="57">
        <f>(C27*B27)</f>
        <v/>
      </c>
      <c r="N27">
        <f>($B$19/5)</f>
        <v/>
      </c>
      <c r="O27" s="57">
        <f>($C$19*[1]Params!K18)</f>
        <v/>
      </c>
      <c r="P27" s="62">
        <f>(O27*N27)</f>
        <v/>
      </c>
    </row>
    <row r="28">
      <c r="B28" s="24" t="n">
        <v>-0.00018</v>
      </c>
      <c r="C28" s="57" t="n">
        <v>21355</v>
      </c>
      <c r="D28" s="57">
        <f>(B28*C28)</f>
        <v/>
      </c>
    </row>
    <row r="29">
      <c r="B29" s="24" t="n">
        <v>-0.00012</v>
      </c>
      <c r="C29" s="57" t="n">
        <v>21355</v>
      </c>
      <c r="D29" s="57">
        <f>(C29*B29)</f>
        <v/>
      </c>
      <c r="P29" s="62">
        <f>(SUM(P24:P27))</f>
        <v/>
      </c>
    </row>
    <row r="30">
      <c r="B30" s="24">
        <f>(-N64)</f>
        <v/>
      </c>
      <c r="C30" s="57" t="n">
        <v>21560</v>
      </c>
      <c r="D30" s="57">
        <f>(C30*B30)</f>
        <v/>
      </c>
    </row>
    <row r="31">
      <c r="B31" s="24">
        <f>(-0.000058-B30)</f>
        <v/>
      </c>
      <c r="C31" s="57" t="n">
        <v>21560</v>
      </c>
      <c r="D31" s="57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8" t="n"/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Objectif</t>
        </is>
      </c>
      <c r="N32">
        <f>($B$20/5)</f>
        <v/>
      </c>
      <c r="O32" s="57">
        <f>(C28)</f>
        <v/>
      </c>
      <c r="P32" s="62">
        <f>(O32*N32)</f>
        <v/>
      </c>
      <c r="Q32" t="inlineStr">
        <is>
          <t>Done</t>
        </is>
      </c>
      <c r="AA32" s="58" t="n"/>
    </row>
    <row r="33">
      <c r="B33" s="24">
        <f>(-0.000184)</f>
        <v/>
      </c>
      <c r="C33" s="57">
        <f>(D33/B33)</f>
        <v/>
      </c>
      <c r="D33" s="57">
        <f>(-4.215072)</f>
        <v/>
      </c>
      <c r="N33">
        <f>($B$20/5)</f>
        <v/>
      </c>
      <c r="O33" s="57">
        <f>($C$20*[1]Params!K16)</f>
        <v/>
      </c>
      <c r="P33" s="62">
        <f>(O33*N33)</f>
        <v/>
      </c>
    </row>
    <row r="34">
      <c r="B34" s="24" t="n">
        <v>0.00180774</v>
      </c>
      <c r="C34" s="57">
        <f>(D34/B34)</f>
        <v/>
      </c>
      <c r="D34" s="57" t="n">
        <v>49.85</v>
      </c>
      <c r="E34" t="inlineStr">
        <is>
          <t>DCA3</t>
        </is>
      </c>
      <c r="N34">
        <f>($B$20/5)</f>
        <v/>
      </c>
      <c r="O34" s="57">
        <f>($C$20*[1]Params!K17)</f>
        <v/>
      </c>
      <c r="P34" s="62">
        <f>(O34*N34)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N35">
        <f>($B$20/5)</f>
        <v/>
      </c>
      <c r="O35" s="57">
        <f>($C$20*[1]Params!K18)</f>
        <v/>
      </c>
      <c r="P35" s="62">
        <f>(O35*N35)</f>
        <v/>
      </c>
    </row>
    <row r="36">
      <c r="B36" s="24" t="n">
        <v>-0.00108507</v>
      </c>
      <c r="C36" s="57" t="n">
        <v>42783</v>
      </c>
      <c r="D36" s="57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8">
        <f>(D38/B38)</f>
        <v/>
      </c>
      <c r="P37" s="62">
        <f>(SUM(P32:P35))</f>
        <v/>
      </c>
      <c r="S37">
        <f>(SUM(S5:S25))</f>
        <v/>
      </c>
      <c r="U37" s="57">
        <f>(SUM(U5:U25))</f>
        <v/>
      </c>
    </row>
    <row r="38">
      <c r="B38">
        <f>(SUM(B5:B37))</f>
        <v/>
      </c>
      <c r="D38" s="57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7">
        <f>(C29)</f>
        <v/>
      </c>
      <c r="P40" s="62">
        <f>(O40*N40)</f>
        <v/>
      </c>
      <c r="Q40" t="inlineStr">
        <is>
          <t>Done</t>
        </is>
      </c>
    </row>
    <row r="41">
      <c r="N41">
        <f>($B$22/5)</f>
        <v/>
      </c>
      <c r="O41" s="57">
        <f>($C$22*[1]Params!K16)</f>
        <v/>
      </c>
      <c r="P41" s="62">
        <f>(O41*N41)</f>
        <v/>
      </c>
    </row>
    <row r="42">
      <c r="N42">
        <f>($B$22/5)</f>
        <v/>
      </c>
      <c r="O42" s="57">
        <f>($C$22*[1]Params!K17)</f>
        <v/>
      </c>
      <c r="P42" s="62">
        <f>(O42*N42)</f>
        <v/>
      </c>
    </row>
    <row r="43">
      <c r="N43">
        <f>($B$22/5)</f>
        <v/>
      </c>
      <c r="O43" s="57">
        <f>($C$22*[1]Params!K18)</f>
        <v/>
      </c>
      <c r="P43" s="62">
        <f>(O43*N43)</f>
        <v/>
      </c>
    </row>
    <row r="44"/>
    <row r="45">
      <c r="P45" s="62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7">
        <f>(C32)</f>
        <v/>
      </c>
      <c r="P48" s="62">
        <f>(O48*N48)</f>
        <v/>
      </c>
      <c r="Q48" t="inlineStr">
        <is>
          <t>Done</t>
        </is>
      </c>
    </row>
    <row r="49">
      <c r="N49">
        <f>(2*($S$19+N48)/5-N48)</f>
        <v/>
      </c>
      <c r="O49" s="57">
        <f>($T$19*[1]Params!K16)</f>
        <v/>
      </c>
      <c r="P49" s="62">
        <f>(O49*N49)</f>
        <v/>
      </c>
    </row>
    <row r="50">
      <c r="N50">
        <f>($B$23/5)</f>
        <v/>
      </c>
      <c r="O50" s="57">
        <f>($T$19*[1]Params!K17)</f>
        <v/>
      </c>
      <c r="P50" s="62">
        <f>(O50*N50)</f>
        <v/>
      </c>
    </row>
    <row r="51">
      <c r="N51">
        <f>($B$23/5)</f>
        <v/>
      </c>
      <c r="O51" s="57">
        <f>($T$19*[1]Params!K18)</f>
        <v/>
      </c>
      <c r="P51" s="62">
        <f>(O51*N51)</f>
        <v/>
      </c>
    </row>
    <row r="52"/>
    <row r="53">
      <c r="P53" s="62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7">
        <f>(C31)</f>
        <v/>
      </c>
      <c r="P56" s="62">
        <f>(O56*N56)</f>
        <v/>
      </c>
      <c r="Q56" t="inlineStr">
        <is>
          <t>Done</t>
        </is>
      </c>
    </row>
    <row r="57">
      <c r="N57">
        <f>(2*($S$20+N56)/5-N56)</f>
        <v/>
      </c>
      <c r="O57" s="57">
        <f>($T$20*[1]Params!K16)</f>
        <v/>
      </c>
      <c r="P57" s="62">
        <f>(O57*N57)</f>
        <v/>
      </c>
    </row>
    <row r="58">
      <c r="N58">
        <f>($B$24/5)</f>
        <v/>
      </c>
      <c r="O58" s="57">
        <f>($T$20*[1]Params!K17)</f>
        <v/>
      </c>
      <c r="P58" s="62">
        <f>(O58*N58)</f>
        <v/>
      </c>
    </row>
    <row r="59">
      <c r="N59">
        <f>($B$24/5)</f>
        <v/>
      </c>
      <c r="O59" s="57">
        <f>($T$20*[1]Params!K18)</f>
        <v/>
      </c>
      <c r="P59" s="62">
        <f>(O59*N59)</f>
        <v/>
      </c>
    </row>
    <row r="60"/>
    <row r="61">
      <c r="P61" s="62">
        <f>(SUM(P56:P59))</f>
        <v/>
      </c>
    </row>
    <row r="62"/>
    <row r="63"/>
    <row r="64">
      <c r="O64" s="57" t="n"/>
      <c r="P64" s="62" t="n"/>
    </row>
    <row r="65">
      <c r="O65" s="57" t="n"/>
      <c r="P65" s="62" t="n"/>
    </row>
    <row r="66">
      <c r="O66" s="57" t="n"/>
      <c r="P66" s="62" t="n"/>
    </row>
    <row r="67">
      <c r="O67" s="57" t="n"/>
      <c r="P67" s="62" t="n"/>
    </row>
    <row r="68"/>
    <row r="69">
      <c r="P69" s="62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7">
        <f>($T$24*[1]Params!K15)</f>
        <v/>
      </c>
      <c r="P72" s="62">
        <f>(O72*N72)</f>
        <v/>
      </c>
    </row>
    <row r="73">
      <c r="N73">
        <f>($S$24/5)</f>
        <v/>
      </c>
      <c r="O73" s="57">
        <f>($T$24*[1]Params!K16)</f>
        <v/>
      </c>
      <c r="P73" s="62">
        <f>(O73*N73)</f>
        <v/>
      </c>
    </row>
    <row r="74">
      <c r="N74">
        <f>($S$24/5)</f>
        <v/>
      </c>
      <c r="O74" s="57">
        <f>($T$24*[1]Params!K17)</f>
        <v/>
      </c>
      <c r="P74" s="62">
        <f>(O74*N74)</f>
        <v/>
      </c>
    </row>
    <row r="75">
      <c r="N75">
        <f>($S$24/5)</f>
        <v/>
      </c>
      <c r="O75" s="57">
        <f>($T$24*[1]Params!K18)</f>
        <v/>
      </c>
      <c r="P75" s="62">
        <f>(O75*N75)</f>
        <v/>
      </c>
    </row>
    <row r="76"/>
    <row r="77">
      <c r="P77" s="62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12.69594335169833</v>
      </c>
      <c r="M3" t="inlineStr">
        <is>
          <t>Objectif :</t>
        </is>
      </c>
      <c r="N3" s="24">
        <f>(INDEX(N5:N19,MATCH(MAX(O6:O8),O5:O19,0))/0.85)</f>
        <v/>
      </c>
      <c r="O3" s="58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7">
        <f>(D5/B5)</f>
        <v/>
      </c>
      <c r="D5" s="57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7">
        <f>(T5/R5)</f>
        <v/>
      </c>
      <c r="T5" s="57">
        <f>(D5)+(B7)*4.615+(B8)*4.6733+B11*4.7693</f>
        <v/>
      </c>
    </row>
    <row r="6">
      <c r="B6" s="2" t="n">
        <v>0.0023042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24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8">
        <f>D7/B7</f>
        <v/>
      </c>
      <c r="D7" s="57" t="n">
        <v>-2.70607643</v>
      </c>
      <c r="N7" s="24">
        <f>-B8</f>
        <v/>
      </c>
      <c r="O7" s="57">
        <f>P7/N7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(D7)-B7*4.615</f>
        <v/>
      </c>
    </row>
    <row r="8">
      <c r="B8" t="n">
        <v>-0.4935</v>
      </c>
      <c r="C8" s="58">
        <f>D8/B8</f>
        <v/>
      </c>
      <c r="D8" s="57" t="n">
        <v>-4.33261604</v>
      </c>
      <c r="N8" s="24">
        <f>-B11</f>
        <v/>
      </c>
      <c r="O8" s="57">
        <f>P8/N8</f>
        <v/>
      </c>
      <c r="P8" s="57">
        <f>-D11</f>
        <v/>
      </c>
      <c r="Q8" t="inlineStr">
        <is>
          <t>Done</t>
        </is>
      </c>
      <c r="R8" s="1">
        <f>(B8)-B8</f>
        <v/>
      </c>
      <c r="S8" s="57" t="n">
        <v>0</v>
      </c>
      <c r="T8" s="57">
        <f>(D8)-B8*4.6733</f>
        <v/>
      </c>
    </row>
    <row r="9">
      <c r="B9" t="n">
        <v>-0.4678</v>
      </c>
      <c r="C9" s="58">
        <f>D9/B9</f>
        <v/>
      </c>
      <c r="D9" s="57" t="n">
        <v>-5.19978057</v>
      </c>
      <c r="N9" s="24">
        <f>B13/2</f>
        <v/>
      </c>
      <c r="O9" s="57">
        <f>($S$5*[1]Params!K11)</f>
        <v/>
      </c>
      <c r="P9" s="57">
        <f>(O9*N9)</f>
        <v/>
      </c>
      <c r="R9" s="1">
        <f>(B9)+B10</f>
        <v/>
      </c>
      <c r="S9" s="57" t="n">
        <v>0</v>
      </c>
      <c r="T9" s="57">
        <f>(D9)+D10</f>
        <v/>
      </c>
      <c r="U9" s="58" t="n"/>
    </row>
    <row r="10">
      <c r="B10" s="1" t="n">
        <v>0.52289021</v>
      </c>
      <c r="C10" s="57">
        <f>(D10/B10)</f>
        <v/>
      </c>
      <c r="D10" s="57" t="n">
        <v>4.91</v>
      </c>
      <c r="R10" s="1">
        <f>B11-B11</f>
        <v/>
      </c>
      <c r="S10" s="57" t="n">
        <v>0</v>
      </c>
      <c r="T10" s="57">
        <f>(D11)-B11*4.7693</f>
        <v/>
      </c>
    </row>
    <row r="11">
      <c r="B11" s="1" t="n">
        <v>-0.53</v>
      </c>
      <c r="C11" s="57">
        <f>(D11/B11)</f>
        <v/>
      </c>
      <c r="D11" s="57">
        <f>-5.68000015</f>
        <v/>
      </c>
      <c r="R11" s="1" t="n"/>
      <c r="S11" s="57" t="n"/>
      <c r="T11" s="57" t="n"/>
    </row>
    <row r="12">
      <c r="F12" t="inlineStr">
        <is>
          <t>Moy</t>
        </is>
      </c>
      <c r="G12" s="57">
        <f>(D13/B13)</f>
        <v/>
      </c>
      <c r="P12" s="57">
        <f>(SUM(P6:P9))</f>
        <v/>
      </c>
      <c r="R12" s="1" t="n"/>
      <c r="S12" s="57" t="n"/>
      <c r="T12" s="57" t="n"/>
    </row>
    <row r="13">
      <c r="B13">
        <f>(SUM(B5:B12))</f>
        <v/>
      </c>
      <c r="D13" s="57">
        <f>(SUM(D5:D12))</f>
        <v/>
      </c>
      <c r="R13" s="1" t="n"/>
      <c r="S13" s="57" t="n"/>
      <c r="T13" s="57" t="n"/>
    </row>
    <row r="14">
      <c r="R14" s="1" t="n"/>
      <c r="S14" s="57" t="n"/>
      <c r="T14" s="58" t="n"/>
    </row>
    <row r="15">
      <c r="P15" s="57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7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0.7552209497635443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7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($C$5*[1]Params!K8)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($C$5*[1]Params!K9)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($C$5*[1]Params!K10)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($C$5*[1]Params!K11)</f>
        <v/>
      </c>
      <c r="P9" s="57">
        <f>(O9*N9)</f>
        <v/>
      </c>
    </row>
    <row r="10">
      <c r="B10" s="67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3.746324225613983</v>
      </c>
      <c r="M3" t="inlineStr">
        <is>
          <t>Objectif :</t>
        </is>
      </c>
      <c r="N3" s="1">
        <f>(INDEX(N5:N16,MATCH(MAX(O6:O7),O5:O16,0))/0.85)</f>
        <v/>
      </c>
      <c r="O3" s="58">
        <f>(MAX(O6:O7)*0.75)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7">
        <f>(D5/B5)</f>
        <v/>
      </c>
      <c r="D5" s="57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7">
        <f>(T5/R5)</f>
        <v/>
      </c>
      <c r="T5" s="57">
        <f>(D5)+(B7+B8)*2.1792</f>
        <v/>
      </c>
    </row>
    <row r="6">
      <c r="B6" s="2" t="n">
        <v>0.01853615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1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-1.193</v>
      </c>
      <c r="C7" s="58">
        <f>D7/B7</f>
        <v/>
      </c>
      <c r="D7" s="57">
        <f>-3.38566736</f>
        <v/>
      </c>
      <c r="N7" s="1">
        <f>-B8</f>
        <v/>
      </c>
      <c r="O7" s="57">
        <f>P7/N7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(D7)-B7*2.1792</f>
        <v/>
      </c>
    </row>
    <row r="8">
      <c r="B8" s="1" t="n">
        <v>-1.19</v>
      </c>
      <c r="C8" s="58">
        <f>D8/B8</f>
        <v/>
      </c>
      <c r="D8" s="57" t="n">
        <v>-4.34436789</v>
      </c>
      <c r="N8" s="1">
        <f>3*($B$10+$N$6+$N$7)/5-$N$6-$N$7</f>
        <v/>
      </c>
      <c r="O8" s="57">
        <f>($C$5*[1]Params!K10)</f>
        <v/>
      </c>
      <c r="P8" s="57">
        <f>(O8*N8)</f>
        <v/>
      </c>
      <c r="R8" s="1">
        <f>(B8)-B8</f>
        <v/>
      </c>
      <c r="S8" s="57" t="n">
        <v>0</v>
      </c>
      <c r="T8" s="57">
        <f>(D8)-B8*2.1792</f>
        <v/>
      </c>
    </row>
    <row r="9">
      <c r="F9" t="inlineStr">
        <is>
          <t>Moy</t>
        </is>
      </c>
      <c r="G9" s="57">
        <f>(D10/B10)</f>
        <v/>
      </c>
      <c r="N9" s="1">
        <f>3*($B$10+$N$6+$N$7)/5-$N$6-$N$7</f>
        <v/>
      </c>
      <c r="O9" s="57">
        <f>($C$5*[1]Params!K11)</f>
        <v/>
      </c>
      <c r="P9" s="57">
        <f>(O9*N9)</f>
        <v/>
      </c>
      <c r="R9" s="1" t="n"/>
      <c r="S9" s="57" t="n"/>
      <c r="T9" s="57" t="n"/>
    </row>
    <row r="10">
      <c r="B10" s="1">
        <f>(SUM(B5:B9))</f>
        <v/>
      </c>
      <c r="D10" s="57">
        <f>(SUM(D5:D9))</f>
        <v/>
      </c>
      <c r="R10" s="1" t="n"/>
      <c r="S10" s="57" t="n"/>
      <c r="T10" s="57" t="n"/>
    </row>
    <row r="11">
      <c r="P11" s="57">
        <f>(SUM(P6:P9))</f>
        <v/>
      </c>
      <c r="R11" s="1" t="n"/>
      <c r="S11" s="57" t="n"/>
      <c r="T11" s="58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13.72704427393155</v>
      </c>
      <c r="M3" t="inlineStr">
        <is>
          <t>Objectif :</t>
        </is>
      </c>
      <c r="N3" s="24">
        <f>(INDEX(N5:N16,MATCH(MAX(O6:O8),O5:O16,0))/0.9)</f>
        <v/>
      </c>
      <c r="O3" s="58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7">
        <f>(D5/B5)</f>
        <v/>
      </c>
      <c r="D5" s="57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7">
        <f>(T5/R5)</f>
        <v/>
      </c>
      <c r="T5" s="57">
        <f>(D5)+(B7+B8+B9)*6.9017</f>
        <v/>
      </c>
    </row>
    <row r="6">
      <c r="B6" s="2" t="n">
        <v>0.00239957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24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24">
        <f>-B8</f>
        <v/>
      </c>
      <c r="O7" s="57">
        <f>C8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(D7)-B7*6.9017</f>
        <v/>
      </c>
    </row>
    <row r="8">
      <c r="B8" s="1" t="n">
        <v>-0.27</v>
      </c>
      <c r="C8" s="57">
        <f>D8/B8</f>
        <v/>
      </c>
      <c r="D8" s="57" t="n">
        <v>-3.09156748</v>
      </c>
      <c r="N8" s="24">
        <f>-B9</f>
        <v/>
      </c>
      <c r="O8" s="57">
        <f>P8/N8</f>
        <v/>
      </c>
      <c r="P8" s="57">
        <f>-D9</f>
        <v/>
      </c>
      <c r="Q8" t="inlineStr">
        <is>
          <t>Done</t>
        </is>
      </c>
      <c r="R8" s="1">
        <f>(B8)-B8</f>
        <v/>
      </c>
      <c r="S8" s="57" t="n">
        <v>0</v>
      </c>
      <c r="T8" s="57">
        <f>(D8)-B8*6.9017</f>
        <v/>
      </c>
      <c r="U8" s="58" t="n"/>
    </row>
    <row r="9">
      <c r="B9" s="1" t="n">
        <v>-0.2616</v>
      </c>
      <c r="C9" s="57">
        <f>D9/B9</f>
        <v/>
      </c>
      <c r="D9" s="57">
        <f>-4.0102794</f>
        <v/>
      </c>
      <c r="N9" s="24">
        <f>4*($B$5+B6)/5-N8-N7-N6</f>
        <v/>
      </c>
      <c r="O9" s="57">
        <f>($C$5*[1]Params!K11)</f>
        <v/>
      </c>
      <c r="P9" s="57">
        <f>(O9*N9)</f>
        <v/>
      </c>
      <c r="R9" s="1">
        <f>(B9)-B9</f>
        <v/>
      </c>
      <c r="S9" s="57" t="n">
        <v>0</v>
      </c>
      <c r="T9" s="57">
        <f>(D9)-B9*6.9017</f>
        <v/>
      </c>
      <c r="U9" s="58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1" t="n"/>
      <c r="S10" s="57" t="n"/>
      <c r="T10" s="57" t="n"/>
      <c r="U10" s="58" t="n"/>
    </row>
    <row r="11">
      <c r="B11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1" t="n"/>
      <c r="S11" s="57" t="n"/>
      <c r="T11" s="58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66.8890700382866</v>
      </c>
      <c r="N3" s="24" t="n"/>
      <c r="O3" s="58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0.00120901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81">
        <f>(SUM(R$5:R$8)/5)</f>
        <v/>
      </c>
      <c r="O6" s="57">
        <f>($C$7*[1]Params!K8)</f>
        <v/>
      </c>
      <c r="P6" s="57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81">
        <f>(SUM(R$5:R$8)/5)</f>
        <v/>
      </c>
      <c r="O7" s="57">
        <f>($C$7*[1]Params!K9)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81">
        <f>(SUM(R$5:R$8)/5)</f>
        <v/>
      </c>
      <c r="O8" s="57">
        <f>($C$7*[1]Params!K10)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81">
        <f>(SUM(R$5:R$8)/5)</f>
        <v/>
      </c>
      <c r="O9" s="57">
        <f>($C$7*[1]Params!K11)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0.6818972504633495</v>
      </c>
      <c r="M3" t="inlineStr">
        <is>
          <t>Objectif :</t>
        </is>
      </c>
      <c r="N3" s="68">
        <f>-B7</f>
        <v/>
      </c>
      <c r="O3" s="65" t="n">
        <v>0</v>
      </c>
      <c r="P3" s="57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(B23*J3)</f>
        <v/>
      </c>
    </row>
    <row r="5">
      <c r="B5" t="n">
        <v>3.25270461</v>
      </c>
      <c r="C5" s="57" t="n">
        <v>0</v>
      </c>
      <c r="D5" s="57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0.0565935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 :</t>
        </is>
      </c>
      <c r="N6" s="81">
        <f>B21</f>
        <v/>
      </c>
      <c r="O6" s="65">
        <f>(C21*2)</f>
        <v/>
      </c>
      <c r="P6" s="57">
        <f>(N6*O6)</f>
        <v/>
      </c>
    </row>
    <row r="7">
      <c r="B7" s="81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  <c r="N9" s="21" t="n"/>
      <c r="O9" s="65" t="n"/>
      <c r="P9" s="57" t="n"/>
    </row>
    <row r="10">
      <c r="B10" t="n">
        <v>0.31639059</v>
      </c>
      <c r="C10" s="57" t="n">
        <v>0</v>
      </c>
      <c r="D10" s="57">
        <f>(B10*C10)</f>
        <v/>
      </c>
      <c r="O10" s="65" t="n"/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>
      <c r="B16" t="n">
        <v>0.31639059</v>
      </c>
      <c r="C16" s="57" t="n">
        <v>0</v>
      </c>
      <c r="D16" s="57">
        <f>(B16*C16)</f>
        <v/>
      </c>
    </row>
    <row r="17">
      <c r="B17" t="n">
        <v>0.31639059</v>
      </c>
      <c r="C17" s="57" t="n">
        <v>0</v>
      </c>
      <c r="D17" s="57">
        <f>(B17*C17)</f>
        <v/>
      </c>
    </row>
    <row r="18">
      <c r="B18" t="n">
        <v>0.31639059</v>
      </c>
      <c r="C18" s="57" t="n">
        <v>0</v>
      </c>
      <c r="D18" s="57">
        <f>(B18*C18)</f>
        <v/>
      </c>
    </row>
    <row r="19">
      <c r="B19" t="n">
        <v>0.31639059</v>
      </c>
      <c r="C19" s="57" t="n">
        <v>0</v>
      </c>
      <c r="D19" s="57">
        <f>(B19*C19)</f>
        <v/>
      </c>
    </row>
    <row r="20">
      <c r="B20" t="n">
        <v>0.31639059</v>
      </c>
      <c r="C20" s="57" t="n">
        <v>0</v>
      </c>
      <c r="D20" s="57">
        <f>(B20*C20)</f>
        <v/>
      </c>
    </row>
    <row r="21">
      <c r="B21" s="81" t="n">
        <v>3.25</v>
      </c>
      <c r="C21" s="57">
        <f>D21/B21</f>
        <v/>
      </c>
      <c r="D21" s="57" t="n">
        <v>2.31819162</v>
      </c>
    </row>
    <row r="22"/>
    <row r="23">
      <c r="B23">
        <f>(SUM(B5:B22))</f>
        <v/>
      </c>
      <c r="D23" s="57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0.0001179800817839013</v>
      </c>
      <c r="M3" t="inlineStr">
        <is>
          <t>Objectif :</t>
        </is>
      </c>
      <c r="N3" s="68">
        <f>400000*1.01-B39</f>
        <v/>
      </c>
      <c r="O3" s="65">
        <f>C37/2.8</f>
        <v/>
      </c>
      <c r="P3" s="57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7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65" t="n">
        <v>115.55</v>
      </c>
      <c r="T5" s="57">
        <f>(R5*S5)</f>
        <v/>
      </c>
    </row>
    <row r="6">
      <c r="B6" s="67" t="n">
        <v>0.3</v>
      </c>
      <c r="C6" s="65" t="n">
        <v>91.3</v>
      </c>
      <c r="D6" s="57">
        <f>(B6*C6)</f>
        <v/>
      </c>
      <c r="M6" t="inlineStr">
        <is>
          <t>Objectif :</t>
        </is>
      </c>
      <c r="N6">
        <f>(INDEX(B5:B17,MATCH(O6/2,C5:C17,0)))</f>
        <v/>
      </c>
      <c r="O6" s="65">
        <f>(MIN(C5:C8,C14:C16)*2)</f>
        <v/>
      </c>
      <c r="P6" s="57">
        <f>(N6*O6)</f>
        <v/>
      </c>
      <c r="R6" s="67">
        <f>(B6)</f>
        <v/>
      </c>
      <c r="S6" s="65" t="n">
        <v>91.3</v>
      </c>
      <c r="T6" s="57">
        <f>(R6*S6)</f>
        <v/>
      </c>
    </row>
    <row r="7">
      <c r="B7" s="67" t="n">
        <v>2.79041387</v>
      </c>
      <c r="C7" s="65" t="n">
        <v>6.5</v>
      </c>
      <c r="D7" s="57">
        <f>(B7*C7)</f>
        <v/>
      </c>
      <c r="R7" s="67">
        <f>(B7)</f>
        <v/>
      </c>
      <c r="S7" s="65" t="n">
        <v>6.5</v>
      </c>
      <c r="T7" s="57">
        <f>(R7*S7)</f>
        <v/>
      </c>
    </row>
    <row r="8">
      <c r="B8" s="67" t="n">
        <v>722</v>
      </c>
      <c r="C8" s="65">
        <f>(D8/B8)</f>
        <v/>
      </c>
      <c r="D8" s="57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7" t="n">
        <v>15</v>
      </c>
    </row>
    <row r="9">
      <c r="B9" s="67">
        <f>(891400)</f>
        <v/>
      </c>
      <c r="C9" s="65">
        <f>(D9/B9)</f>
        <v/>
      </c>
      <c r="D9" s="57" t="n">
        <v>10</v>
      </c>
      <c r="M9" t="inlineStr">
        <is>
          <t>Objectif :</t>
        </is>
      </c>
      <c r="N9" s="21">
        <f>B39/4</f>
        <v/>
      </c>
      <c r="O9" s="65" t="n">
        <v>0.0005</v>
      </c>
      <c r="P9" s="57">
        <f>(N9*O9)</f>
        <v/>
      </c>
      <c r="R9" s="67">
        <f>(B9)</f>
        <v/>
      </c>
      <c r="S9" s="65">
        <f>(T9/R9)</f>
        <v/>
      </c>
      <c r="T9" s="57" t="n">
        <v>10</v>
      </c>
    </row>
    <row r="10">
      <c r="B10" s="67" t="n">
        <v>-200000</v>
      </c>
      <c r="C10" s="65">
        <f>(D10/B10)</f>
        <v/>
      </c>
      <c r="D10" s="57" t="n">
        <v>-12</v>
      </c>
      <c r="O10" s="65" t="n"/>
      <c r="R10" s="67">
        <f>(B10)</f>
        <v/>
      </c>
      <c r="S10" s="65">
        <f>(T10/R10)</f>
        <v/>
      </c>
      <c r="T10" s="57" t="n">
        <v>-12</v>
      </c>
    </row>
    <row r="11">
      <c r="B11" s="67" t="n">
        <v>-43873</v>
      </c>
      <c r="C11" s="65">
        <f>(D11/B11)</f>
        <v/>
      </c>
      <c r="D11" s="57" t="n">
        <v>-10</v>
      </c>
      <c r="R11" s="67">
        <f>(B11)</f>
        <v/>
      </c>
      <c r="S11" s="65">
        <f>(T11/R11)</f>
        <v/>
      </c>
      <c r="T11" s="57" t="n">
        <v>-10</v>
      </c>
    </row>
    <row r="12">
      <c r="B12" s="67" t="n">
        <v>-20000</v>
      </c>
      <c r="C12" s="65">
        <f>(D12/B12)</f>
        <v/>
      </c>
      <c r="D12" s="57" t="n">
        <v>-10</v>
      </c>
      <c r="R12" s="67">
        <f>(B12)</f>
        <v/>
      </c>
      <c r="S12" s="65">
        <f>(T12/R12)</f>
        <v/>
      </c>
      <c r="T12" s="57" t="n">
        <v>-10</v>
      </c>
    </row>
    <row r="13">
      <c r="B13" s="67" t="n">
        <v>-66800</v>
      </c>
      <c r="C13" s="65">
        <f>(D13/B13)</f>
        <v/>
      </c>
      <c r="D13" s="57" t="n">
        <v>-33.4</v>
      </c>
      <c r="R13" s="67">
        <f>(B13+B14+B15+B16)</f>
        <v/>
      </c>
      <c r="S13" s="65">
        <f>(T13/R13)</f>
        <v/>
      </c>
      <c r="T13" s="57">
        <f>(D13+D15+D14+D16)</f>
        <v/>
      </c>
    </row>
    <row r="14">
      <c r="B14" s="67" t="n">
        <v>22223</v>
      </c>
      <c r="C14" s="65">
        <f>(D14/B14)</f>
        <v/>
      </c>
      <c r="D14" s="57" t="n">
        <v>10.00035</v>
      </c>
      <c r="R14" s="67">
        <f>(B17)</f>
        <v/>
      </c>
      <c r="S14" s="65" t="n">
        <v>0.0001</v>
      </c>
      <c r="T14" s="57">
        <f>(S14*R14)</f>
        <v/>
      </c>
    </row>
    <row r="15">
      <c r="B15" s="67" t="n">
        <v>48000</v>
      </c>
      <c r="C15" s="65">
        <f>(D15/B15)</f>
        <v/>
      </c>
      <c r="D15" s="57" t="n">
        <v>18</v>
      </c>
      <c r="R15" s="67">
        <f>(B18)</f>
        <v/>
      </c>
      <c r="S15" s="65" t="n">
        <v>0</v>
      </c>
      <c r="T15" s="57">
        <f>(R15*S15)</f>
        <v/>
      </c>
    </row>
    <row r="16">
      <c r="B16" s="67" t="n">
        <v>40000</v>
      </c>
      <c r="C16" s="65">
        <f>(D16/B16)</f>
        <v/>
      </c>
      <c r="D16" s="57" t="n">
        <v>10</v>
      </c>
      <c r="R16" s="67">
        <f>(B19)</f>
        <v/>
      </c>
      <c r="S16" s="65" t="n">
        <v>0.0001829</v>
      </c>
      <c r="T16" s="57">
        <f>(S16*R16)</f>
        <v/>
      </c>
    </row>
    <row r="17">
      <c r="B17" s="67" t="n">
        <v>-150000</v>
      </c>
      <c r="C17" s="65" t="n">
        <v>0.0001</v>
      </c>
      <c r="D17" s="57">
        <f>(C17*B17)</f>
        <v/>
      </c>
      <c r="R17" s="67">
        <f>(B20)</f>
        <v/>
      </c>
      <c r="S17" s="65" t="n">
        <v>0.0001828</v>
      </c>
      <c r="T17" s="57">
        <f>(S17*R17)</f>
        <v/>
      </c>
    </row>
    <row r="18">
      <c r="B18" s="79" t="n">
        <v>4891.8065521</v>
      </c>
      <c r="C18" s="60" t="n">
        <v>0</v>
      </c>
      <c r="D18" s="61">
        <f>(B18*C18)</f>
        <v/>
      </c>
      <c r="E18" s="57">
        <f>(B18*J3)</f>
        <v/>
      </c>
      <c r="R18" s="67">
        <f>(B21)</f>
        <v/>
      </c>
      <c r="S18" s="65">
        <f>(T18/R18)</f>
        <v/>
      </c>
      <c r="T18" s="57" t="n">
        <v>-10.875</v>
      </c>
    </row>
    <row r="19">
      <c r="B19" s="67" t="n">
        <v>-60293.19</v>
      </c>
      <c r="C19" s="65" t="n">
        <v>0.0001829</v>
      </c>
      <c r="D19" s="57">
        <f>(C19*B19)</f>
        <v/>
      </c>
      <c r="R19" s="67">
        <f>(B22)</f>
        <v/>
      </c>
      <c r="S19" s="65">
        <f>(T19/R19)</f>
        <v/>
      </c>
      <c r="T19" s="57" t="n">
        <v>-15.777</v>
      </c>
    </row>
    <row r="20">
      <c r="B20" s="67" t="n">
        <v>-41141.35</v>
      </c>
      <c r="C20" s="65" t="n">
        <v>0.0001828</v>
      </c>
      <c r="D20" s="57">
        <f>(C20*B20)</f>
        <v/>
      </c>
      <c r="R20" s="67">
        <f>(B23)</f>
        <v/>
      </c>
      <c r="S20" s="65">
        <f>(T20/R20)</f>
        <v/>
      </c>
      <c r="T20" s="57" t="n">
        <v>-12.7</v>
      </c>
    </row>
    <row r="21">
      <c r="B21" s="67" t="n">
        <v>-26969.34</v>
      </c>
      <c r="C21" s="65">
        <f>(D21/B21)</f>
        <v/>
      </c>
      <c r="D21" s="57" t="n">
        <v>-10.875</v>
      </c>
      <c r="R21" s="67">
        <f>(B24+B25+B26)</f>
        <v/>
      </c>
      <c r="S21" s="65">
        <f>(T21/R21)</f>
        <v/>
      </c>
      <c r="T21" s="57">
        <f>(D24+D25+D26)</f>
        <v/>
      </c>
    </row>
    <row r="22">
      <c r="B22" s="67" t="n">
        <v>-39131.89</v>
      </c>
      <c r="C22" s="65">
        <f>(D22/B22)</f>
        <v/>
      </c>
      <c r="D22" s="57" t="n">
        <v>-15.777</v>
      </c>
      <c r="R22" s="67">
        <f>(B27+B28)</f>
        <v/>
      </c>
      <c r="S22" s="65" t="n">
        <v>0</v>
      </c>
      <c r="T22" s="57">
        <f>(D27+D28)</f>
        <v/>
      </c>
    </row>
    <row r="23">
      <c r="B23" s="67" t="n">
        <v>-31019.52</v>
      </c>
      <c r="C23" s="65">
        <f>(D23/B23)</f>
        <v/>
      </c>
      <c r="D23" s="57" t="n">
        <v>-12.7</v>
      </c>
      <c r="R23" s="67">
        <f>(B29+B30)</f>
        <v/>
      </c>
      <c r="S23" s="65" t="n">
        <v>0</v>
      </c>
      <c r="T23" s="57">
        <f>(D29+D30)</f>
        <v/>
      </c>
    </row>
    <row r="24">
      <c r="B24" s="67" t="n">
        <v>-20035.65</v>
      </c>
      <c r="C24" s="65">
        <f>(D24/B24)</f>
        <v/>
      </c>
      <c r="D24" s="57" t="n">
        <v>-11.12</v>
      </c>
      <c r="R24" s="67">
        <f>(B31+B32)</f>
        <v/>
      </c>
      <c r="S24" s="65" t="n">
        <v>0</v>
      </c>
      <c r="T24" s="57">
        <f>(D31+D32)</f>
        <v/>
      </c>
    </row>
    <row r="25">
      <c r="B25" s="67">
        <f>(15252.99-15.25299)</f>
        <v/>
      </c>
      <c r="C25" s="65" t="n">
        <v>0.00051739</v>
      </c>
      <c r="D25" s="57">
        <f>(B25*C25)</f>
        <v/>
      </c>
      <c r="N25" s="67" t="n"/>
      <c r="R25" s="67">
        <f>(B33+B34+B35)</f>
        <v/>
      </c>
      <c r="S25" s="65" t="n">
        <v>0</v>
      </c>
      <c r="T25" s="57">
        <f>(D33+D34+D35)</f>
        <v/>
      </c>
    </row>
    <row r="26">
      <c r="B26" s="67">
        <f>(4747.01-4.74701)</f>
        <v/>
      </c>
      <c r="C26" s="65" t="n">
        <v>0.00051738</v>
      </c>
      <c r="D26" s="57">
        <f>(B26*C26)</f>
        <v/>
      </c>
      <c r="R26" s="67">
        <f>B36</f>
        <v/>
      </c>
      <c r="S26" s="65">
        <f>T26/R26</f>
        <v/>
      </c>
      <c r="T26" s="58">
        <f>D36</f>
        <v/>
      </c>
    </row>
    <row r="27">
      <c r="B27" s="67" t="n">
        <v>-40000</v>
      </c>
      <c r="C27" s="65">
        <f>(D27/B27)</f>
        <v/>
      </c>
      <c r="D27" s="57" t="n">
        <v>-12.44</v>
      </c>
      <c r="R27" s="67">
        <f>B37</f>
        <v/>
      </c>
      <c r="S27" s="65">
        <f>T27/R27</f>
        <v/>
      </c>
      <c r="T27" s="58">
        <f>D37</f>
        <v/>
      </c>
    </row>
    <row r="28">
      <c r="B28" s="67" t="n">
        <v>40000</v>
      </c>
      <c r="C28" s="65">
        <f>(D28/B28)</f>
        <v/>
      </c>
      <c r="D28" s="57" t="n">
        <v>10</v>
      </c>
    </row>
    <row r="29">
      <c r="B29" s="67" t="n">
        <v>-40000</v>
      </c>
      <c r="C29" s="65">
        <f>(D29/B29)</f>
        <v/>
      </c>
      <c r="D29" s="57" t="n">
        <v>-12.39</v>
      </c>
    </row>
    <row r="30">
      <c r="B30" s="67" t="n">
        <v>44000</v>
      </c>
      <c r="C30" s="65">
        <f>(D30/B30)</f>
        <v/>
      </c>
      <c r="D30" s="57" t="n">
        <v>10.42</v>
      </c>
    </row>
    <row r="31">
      <c r="B31" s="67" t="n">
        <v>-270017.67672339</v>
      </c>
      <c r="C31" s="65">
        <f>(D31/B31)</f>
        <v/>
      </c>
      <c r="D31" s="57" t="n">
        <v>-48.19233598</v>
      </c>
    </row>
    <row r="32">
      <c r="B32" s="67">
        <f>(272743.3*0.99)</f>
        <v/>
      </c>
      <c r="C32" s="65">
        <f>(D32/B32)</f>
        <v/>
      </c>
      <c r="D32" s="57" t="n">
        <v>34.21</v>
      </c>
      <c r="E32" s="58" t="n"/>
    </row>
    <row r="33">
      <c r="B33" s="67" t="n">
        <v>-33998.23</v>
      </c>
      <c r="C33" s="65">
        <f>(D33/B33)</f>
        <v/>
      </c>
      <c r="D33" s="57" t="n">
        <v>-6.45</v>
      </c>
    </row>
    <row r="34">
      <c r="B34" s="67" t="n">
        <v>-20001.77</v>
      </c>
      <c r="C34" s="65">
        <f>(D34/B34)</f>
        <v/>
      </c>
      <c r="D34" s="57" t="n">
        <v>-3.795</v>
      </c>
    </row>
    <row r="35">
      <c r="B35" s="67">
        <f>(62154.32-62.15432)</f>
        <v/>
      </c>
      <c r="C35" s="65">
        <f>(D35/B35)</f>
        <v/>
      </c>
      <c r="D35" s="57" t="n">
        <v>10.1</v>
      </c>
      <c r="E35" s="57" t="n"/>
    </row>
    <row r="36">
      <c r="B36" s="67" t="n">
        <v>-62000</v>
      </c>
      <c r="C36" s="65">
        <f>(D36/B36)</f>
        <v/>
      </c>
      <c r="D36" s="57" t="n">
        <v>-16.02484919</v>
      </c>
      <c r="E36" s="57">
        <f>B36*J3</f>
        <v/>
      </c>
    </row>
    <row r="37">
      <c r="B37" s="67" t="n">
        <v>-150000</v>
      </c>
      <c r="C37" s="65">
        <f>(D37/B37)</f>
        <v/>
      </c>
      <c r="D37" s="57" t="n">
        <v>-38.50217554</v>
      </c>
      <c r="E37" s="57">
        <f>B37*J3</f>
        <v/>
      </c>
    </row>
    <row r="38"/>
    <row r="39">
      <c r="B39">
        <f>(SUM(B5:B38))</f>
        <v/>
      </c>
      <c r="D39" s="57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7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0.8237711783073804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0" t="n">
        <v>0.32240068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19">
        <f>($B$7+$R$9+$R$6)/5</f>
        <v/>
      </c>
      <c r="O6" s="57">
        <f>($S$7*[1]Params!K8)</f>
        <v/>
      </c>
      <c r="P6" s="57">
        <f>(O6*N6)</f>
        <v/>
      </c>
      <c r="R6" s="79">
        <f>(B6)</f>
        <v/>
      </c>
      <c r="S6" s="60" t="n">
        <v>0</v>
      </c>
      <c r="T6" s="61">
        <f>(D6)</f>
        <v/>
      </c>
      <c r="U6" s="57">
        <f>(R6*J3)</f>
        <v/>
      </c>
    </row>
    <row r="7">
      <c r="B7" s="19" t="n">
        <v>43.74684495</v>
      </c>
      <c r="C7" s="57">
        <f>(D7/B7)</f>
        <v/>
      </c>
      <c r="D7" s="57" t="n">
        <v>40.3</v>
      </c>
      <c r="E7" t="inlineStr">
        <is>
          <t>DCA2</t>
        </is>
      </c>
      <c r="N7" s="19">
        <f>($B$7+$R$9+$R$6)/5</f>
        <v/>
      </c>
      <c r="O7" s="57">
        <f>($S$7*[1]Params!K9)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($B$7+$R$9+$R$6)/5</f>
        <v/>
      </c>
      <c r="O8" s="57">
        <f>($S$7*[1]Params!K10)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($B$7+$R$9+$R$6)/5</f>
        <v/>
      </c>
      <c r="O9" s="57">
        <f>($C$7*[1]Params!K11)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($C$5*[1]Params!K8)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($C$5*[1]Params!K9)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($C$5*[1]Params!K10)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($C$5*[1]Params!K11)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0"/>
    <col width="9.140625" customWidth="1" style="14" min="261" max="16384"/>
  </cols>
  <sheetData>
    <row r="1"/>
    <row r="2"/>
    <row r="3">
      <c r="I3" t="inlineStr">
        <is>
          <t>Actual Price :</t>
        </is>
      </c>
      <c r="J3" s="77" t="n">
        <v>0.02234540452910341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7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0.05762426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7">
        <f>(O6*N6)</f>
        <v/>
      </c>
    </row>
    <row r="7">
      <c r="B7" s="67" t="n"/>
      <c r="C7" s="57" t="n"/>
      <c r="D7" s="59" t="n"/>
      <c r="E7" s="57" t="n"/>
      <c r="N7" s="67">
        <f>($B$10/5)</f>
        <v/>
      </c>
      <c r="O7" s="77">
        <f>($C$5*[1]Params!K9)</f>
        <v/>
      </c>
      <c r="P7" s="57">
        <f>(O7*N7)</f>
        <v/>
      </c>
    </row>
    <row r="8">
      <c r="N8" s="67">
        <f>($B$10/5)</f>
        <v/>
      </c>
      <c r="O8" s="77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67">
        <f>($B$10/5)</f>
        <v/>
      </c>
      <c r="O9" s="77">
        <f>($C$5*[1]Params!K11)</f>
        <v/>
      </c>
      <c r="P9" s="57">
        <f>(O9*N9)</f>
        <v/>
      </c>
    </row>
    <row r="10">
      <c r="B10" s="67">
        <f>(SUM(B5:B9))</f>
        <v/>
      </c>
      <c r="D10" s="57">
        <f>(SUM(D5:D9))</f>
        <v/>
      </c>
    </row>
    <row r="11">
      <c r="P11" s="57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1.134566397663227</v>
      </c>
      <c r="M3" t="inlineStr">
        <is>
          <t>Objectif :</t>
        </is>
      </c>
      <c r="N3" s="24">
        <f>(INDEX(N5:N33,MATCH(MAX(O6:O7),O5:O33,0))/0.85)</f>
        <v/>
      </c>
      <c r="O3" s="58">
        <f>(MAX(O6:O7)*0.75)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7">
        <f>(D5/B5)</f>
        <v/>
      </c>
      <c r="D5" s="57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7">
        <f>(T5/R5)</f>
        <v/>
      </c>
      <c r="T5" s="57">
        <f>(D5)</f>
        <v/>
      </c>
    </row>
    <row r="6">
      <c r="B6" s="79" t="n">
        <v>0.33979913</v>
      </c>
      <c r="C6" s="60" t="n">
        <v>0</v>
      </c>
      <c r="D6" s="61">
        <f>(B6*C6)</f>
        <v/>
      </c>
      <c r="E6" s="57">
        <f>(B6*J3)</f>
        <v/>
      </c>
      <c r="M6" t="inlineStr">
        <is>
          <t>Objectif</t>
        </is>
      </c>
      <c r="N6" s="67">
        <f>-B8</f>
        <v/>
      </c>
      <c r="O6" s="57">
        <f>($C$5*[1]Params!K8)</f>
        <v/>
      </c>
      <c r="P6" s="57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7">
        <f>(E6)</f>
        <v/>
      </c>
    </row>
    <row r="7">
      <c r="B7" s="67" t="n">
        <v>2.381</v>
      </c>
      <c r="C7" s="57" t="n">
        <v>0</v>
      </c>
      <c r="D7" s="59">
        <f>(B7*C7)</f>
        <v/>
      </c>
      <c r="E7" s="57">
        <f>(B7*J3)</f>
        <v/>
      </c>
      <c r="N7" s="67">
        <f>-B9</f>
        <v/>
      </c>
      <c r="O7" s="57">
        <f>P7/N7</f>
        <v/>
      </c>
      <c r="P7" s="57">
        <f>-D9</f>
        <v/>
      </c>
      <c r="Q7" t="inlineStr">
        <is>
          <t>Done</t>
        </is>
      </c>
      <c r="R7" s="67">
        <f>(B7)</f>
        <v/>
      </c>
      <c r="S7" s="57" t="n">
        <v>0</v>
      </c>
      <c r="T7" s="59">
        <f>(D7)</f>
        <v/>
      </c>
    </row>
    <row r="8">
      <c r="B8" s="67" t="n">
        <v>-10.99</v>
      </c>
      <c r="C8" s="58">
        <f>D8/B8</f>
        <v/>
      </c>
      <c r="D8" s="57">
        <f>-12.41601718</f>
        <v/>
      </c>
      <c r="N8" s="67">
        <f>3*($B$13+$N$7+$N$6)/5-N7-N6</f>
        <v/>
      </c>
      <c r="O8" s="57">
        <f>($C$5*[1]Params!K10)</f>
        <v/>
      </c>
      <c r="P8" s="57">
        <f>N8*O8</f>
        <v/>
      </c>
      <c r="R8" s="67">
        <f>B8</f>
        <v/>
      </c>
      <c r="S8" s="57">
        <f>T8/R8</f>
        <v/>
      </c>
      <c r="T8" s="57">
        <f>D8</f>
        <v/>
      </c>
      <c r="V8" s="58" t="n"/>
    </row>
    <row r="9">
      <c r="B9" s="67" t="n">
        <v>-10.99</v>
      </c>
      <c r="C9" s="58">
        <f>D9/B9</f>
        <v/>
      </c>
      <c r="D9" s="57" t="n">
        <v>-13.55613194</v>
      </c>
      <c r="N9" s="67">
        <f>($B$13+$N$7+$N$6)/5</f>
        <v/>
      </c>
      <c r="O9" s="57">
        <f>($C$5*[1]Params!K11)</f>
        <v/>
      </c>
      <c r="P9" s="57">
        <f>(O9*N9)</f>
        <v/>
      </c>
      <c r="R9" s="67">
        <f>B9</f>
        <v/>
      </c>
      <c r="S9" s="57">
        <f>T9/R9</f>
        <v/>
      </c>
      <c r="T9" s="57">
        <f>D9</f>
        <v/>
      </c>
      <c r="V9" s="58" t="n"/>
    </row>
    <row r="10">
      <c r="B10" s="67" t="n">
        <v>-11</v>
      </c>
      <c r="C10" s="58">
        <f>D10/B10</f>
        <v/>
      </c>
      <c r="D10" s="57">
        <f>-18.46116585</f>
        <v/>
      </c>
      <c r="R10" s="67">
        <f>B10+B11</f>
        <v/>
      </c>
      <c r="S10" s="57" t="n">
        <v>0</v>
      </c>
      <c r="T10" s="57">
        <f>D10+D11</f>
        <v/>
      </c>
      <c r="V10" s="58" t="n"/>
    </row>
    <row r="11">
      <c r="B11" s="67" t="n">
        <v>13</v>
      </c>
      <c r="C11" s="57">
        <f>(D11/B11)</f>
        <v/>
      </c>
      <c r="D11" s="57" t="n">
        <v>16.10266887</v>
      </c>
      <c r="F11" t="inlineStr">
        <is>
          <t>Moy</t>
        </is>
      </c>
      <c r="G11" s="57">
        <f>(D13/B13)</f>
        <v/>
      </c>
      <c r="P11" s="57">
        <f>(SUM(P6:P9))</f>
        <v/>
      </c>
      <c r="R11" s="1" t="n"/>
      <c r="S11" s="57" t="n"/>
      <c r="T11" s="57" t="n"/>
      <c r="V11" s="58" t="n"/>
    </row>
    <row r="12">
      <c r="G12" s="57" t="n"/>
      <c r="P12" s="57" t="n"/>
      <c r="R12" s="1" t="n"/>
      <c r="S12" s="57" t="n"/>
      <c r="T12" s="57" t="n"/>
      <c r="V12" s="58" t="n"/>
    </row>
    <row r="13">
      <c r="B13" s="67">
        <f>(SUM(B5:B11))</f>
        <v/>
      </c>
      <c r="D13" s="57">
        <f>(SUM(D5:D11))</f>
        <v/>
      </c>
      <c r="R13" s="1" t="n"/>
      <c r="S13" s="57" t="n"/>
      <c r="T13" s="57" t="n"/>
    </row>
    <row r="14">
      <c r="R14" s="1" t="n"/>
      <c r="S14" s="57" t="n"/>
      <c r="T14" s="58" t="n"/>
    </row>
    <row r="15">
      <c r="R15" s="1" t="n"/>
      <c r="S15" s="57" t="n"/>
      <c r="T15" s="57" t="n"/>
    </row>
    <row r="16">
      <c r="R16" s="1" t="n"/>
      <c r="S16" s="57" t="n"/>
      <c r="T16" s="57" t="n"/>
    </row>
    <row r="17">
      <c r="S17" s="57" t="n"/>
      <c r="T17" s="57" t="n"/>
    </row>
    <row r="18">
      <c r="S18" s="57" t="n"/>
      <c r="T18" s="57" t="n"/>
    </row>
    <row r="19"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S22" s="57" t="n"/>
      <c r="T22" s="57" t="n"/>
    </row>
    <row r="23">
      <c r="S23" s="57" t="n"/>
      <c r="T23" s="57" t="n"/>
    </row>
    <row r="24">
      <c r="S24" s="57" t="n"/>
      <c r="T24" s="57" t="n"/>
    </row>
    <row r="25">
      <c r="J25" s="24" t="n"/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R30" s="1">
        <f>(SUM(R5:R29))</f>
        <v/>
      </c>
      <c r="S30" s="57" t="n"/>
      <c r="T30" s="57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3.213400128495886</v>
      </c>
      <c r="M3" t="inlineStr">
        <is>
          <t>Objectif :</t>
        </is>
      </c>
      <c r="N3" s="24">
        <f>(INDEX(N5:N31,MATCH(MAX(O6:O8,O14:O16),O5:O31,0))/0.85)</f>
        <v/>
      </c>
      <c r="O3" s="58">
        <f>(MAX(O6:O8,O14:O16)*0.75)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(B25*J3)</f>
        <v/>
      </c>
      <c r="K4" s="4">
        <f>(J4/D25-1)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22.61366053</v>
      </c>
      <c r="C6" s="57">
        <f>(D6/B6)</f>
        <v/>
      </c>
      <c r="D6" s="57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7">
        <f>P6/N6</f>
        <v/>
      </c>
      <c r="P6" s="57">
        <f>-D18</f>
        <v/>
      </c>
      <c r="Q6" t="inlineStr">
        <is>
          <t>Done</t>
        </is>
      </c>
      <c r="R6" s="1">
        <f>B6+B19+B21+B23</f>
        <v/>
      </c>
      <c r="S6" s="57">
        <f>(T6/R6)</f>
        <v/>
      </c>
      <c r="T6" s="57">
        <f>D6+B19*1.74+B21*1.7718+B23*1.7718</f>
        <v/>
      </c>
      <c r="U6" s="57">
        <f>(E6)</f>
        <v/>
      </c>
    </row>
    <row r="7">
      <c r="B7" s="2" t="n">
        <v>0.10108985</v>
      </c>
      <c r="C7" s="60" t="n">
        <v>0</v>
      </c>
      <c r="D7" s="61" t="n">
        <v>0</v>
      </c>
      <c r="E7" s="58">
        <f>B7*J3</f>
        <v/>
      </c>
      <c r="N7" s="1">
        <f>(($B$5+$R$9)/5)</f>
        <v/>
      </c>
      <c r="O7" s="57">
        <f>($C$5*[1]Params!K9)</f>
        <v/>
      </c>
      <c r="P7" s="57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-B22</f>
        <v/>
      </c>
      <c r="O8" s="57">
        <f>P8/N8</f>
        <v/>
      </c>
      <c r="P8" s="57">
        <f>-D22</f>
        <v/>
      </c>
      <c r="Q8" t="inlineStr">
        <is>
          <t>Done</t>
        </is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DCA2*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($C$5*[1]Params!K11)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>
        <f>B18</f>
        <v/>
      </c>
      <c r="S10" s="57">
        <f>T10/R10</f>
        <v/>
      </c>
      <c r="T10" s="57">
        <f>D18</f>
        <v/>
      </c>
      <c r="U10" t="inlineStr">
        <is>
          <t>Learn 1/5</t>
        </is>
      </c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  <c r="R11" s="1">
        <f>B19-B19</f>
        <v/>
      </c>
      <c r="S11" s="57" t="n">
        <v>0</v>
      </c>
      <c r="T11" s="58">
        <f>D19-B19*1.74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R12" s="1">
        <f>B20</f>
        <v/>
      </c>
      <c r="S12" s="57">
        <f>T12/R12</f>
        <v/>
      </c>
      <c r="T12" s="57">
        <f>D20</f>
        <v/>
      </c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7" t="n">
        <v>0</v>
      </c>
      <c r="T13" s="57">
        <f>D21-B21*1.7718</f>
        <v/>
      </c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-B19</f>
        <v/>
      </c>
      <c r="O14" s="57">
        <f>P14/N14</f>
        <v/>
      </c>
      <c r="P14" s="57">
        <f>-D19</f>
        <v/>
      </c>
      <c r="Q14" t="inlineStr">
        <is>
          <t>Done</t>
        </is>
      </c>
      <c r="R14" s="1">
        <f>B22</f>
        <v/>
      </c>
      <c r="S14" s="57">
        <f>T14/R14</f>
        <v/>
      </c>
      <c r="T14" s="57">
        <f>D22</f>
        <v/>
      </c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-B21</f>
        <v/>
      </c>
      <c r="O15" s="57">
        <f>P15/N15</f>
        <v/>
      </c>
      <c r="P15" s="57">
        <f>-D21</f>
        <v/>
      </c>
      <c r="Q15" t="inlineStr">
        <is>
          <t>Done</t>
        </is>
      </c>
      <c r="R15" s="1">
        <f>B23-B23</f>
        <v/>
      </c>
      <c r="S15" s="57" t="n">
        <v>0</v>
      </c>
      <c r="T15" s="57">
        <f>D23-B23*1.7718</f>
        <v/>
      </c>
    </row>
    <row r="16">
      <c r="B16" s="1" t="n">
        <v>0.419286856535433</v>
      </c>
      <c r="C16" s="57">
        <f>(D16/B16)</f>
        <v/>
      </c>
      <c r="D16" s="57" t="n">
        <v>0.709744</v>
      </c>
      <c r="N16" s="1">
        <f>-B23</f>
        <v/>
      </c>
      <c r="O16" s="57">
        <f>P16/N16</f>
        <v/>
      </c>
      <c r="P16" s="57">
        <f>-D23</f>
        <v/>
      </c>
      <c r="Q16" t="inlineStr">
        <is>
          <t>Done</t>
        </is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4*(($B$6+$R$8+$R$7)/5)-N15-N14-N16</f>
        <v/>
      </c>
      <c r="O17" s="57">
        <f>($S$6*[1]Params!K11)</f>
        <v/>
      </c>
      <c r="P17" s="57">
        <f>(O17*N17)</f>
        <v/>
      </c>
      <c r="S17" s="57" t="n"/>
      <c r="T17" s="57" t="n"/>
    </row>
    <row r="18">
      <c r="B18" s="1" t="n">
        <v>-0.377697841726618</v>
      </c>
      <c r="C18" s="57">
        <f>(D18/B18)</f>
        <v/>
      </c>
      <c r="D18" s="57" t="n">
        <v>-0.82209</v>
      </c>
      <c r="E18">
        <f>U10</f>
        <v/>
      </c>
      <c r="N18" s="1" t="n"/>
      <c r="O18" s="57" t="n"/>
      <c r="P18" s="57" t="n"/>
      <c r="S18" s="57" t="n"/>
      <c r="T18" s="57" t="n"/>
    </row>
    <row r="19">
      <c r="B19" s="1" t="n">
        <v>-4.3</v>
      </c>
      <c r="C19" s="57">
        <f>(D19/B19)</f>
        <v/>
      </c>
      <c r="D19" s="57" t="n">
        <v>-10.15814138</v>
      </c>
      <c r="O19" s="57" t="n"/>
      <c r="P19" s="57">
        <f>(SUM(P14:P17))</f>
        <v/>
      </c>
      <c r="S19" s="57" t="n"/>
      <c r="T19" s="57" t="n"/>
    </row>
    <row r="20">
      <c r="B20" s="1" t="n">
        <v>-0.37687523</v>
      </c>
      <c r="C20" s="57">
        <f>(D20/B20)</f>
        <v/>
      </c>
      <c r="D20" s="57">
        <f>-1.008661</f>
        <v/>
      </c>
      <c r="O20" s="57" t="n"/>
      <c r="P20" s="57" t="n"/>
      <c r="S20" s="57" t="n"/>
      <c r="T20" s="57" t="n"/>
    </row>
    <row r="21">
      <c r="B21" s="1" t="n">
        <v>-4.53</v>
      </c>
      <c r="C21" s="57">
        <f>D21/B21</f>
        <v/>
      </c>
      <c r="D21" s="57" t="n">
        <v>-13.0025235</v>
      </c>
      <c r="O21" s="57" t="n"/>
      <c r="P21" s="57" t="n"/>
      <c r="S21" s="57" t="n"/>
      <c r="T21" s="57" t="n"/>
    </row>
    <row r="22">
      <c r="B22" s="1" t="n">
        <v>-0.37933818</v>
      </c>
      <c r="C22" s="57">
        <f>D22/B22</f>
        <v/>
      </c>
      <c r="D22" s="57" t="n">
        <v>-1.381056</v>
      </c>
      <c r="O22" s="57" t="n"/>
      <c r="P22" s="57" t="n"/>
      <c r="S22" s="57" t="n"/>
      <c r="T22" s="57" t="n"/>
    </row>
    <row r="23">
      <c r="B23" s="1" t="n">
        <v>-4.82</v>
      </c>
      <c r="C23" s="57">
        <f>D23/B23</f>
        <v/>
      </c>
      <c r="D23" s="57">
        <f>-18.93992355</f>
        <v/>
      </c>
      <c r="O23" s="57" t="n"/>
      <c r="P23" s="57" t="n"/>
      <c r="S23" s="57" t="n"/>
      <c r="T23" s="57" t="n"/>
    </row>
    <row r="24">
      <c r="C24" s="57" t="n"/>
      <c r="D24" s="57" t="n"/>
      <c r="F24" t="inlineStr">
        <is>
          <t>Moy</t>
        </is>
      </c>
      <c r="G24" s="57">
        <f>(D25/B25)</f>
        <v/>
      </c>
      <c r="S24" s="57" t="n"/>
      <c r="T24" s="57" t="n"/>
    </row>
    <row r="25">
      <c r="B25" s="1">
        <f>(SUM(B5:B24))</f>
        <v/>
      </c>
      <c r="C25" s="57" t="n"/>
      <c r="D25" s="57">
        <f>(SUM(D5:D24))</f>
        <v/>
      </c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R28" s="1">
        <f>(SUM(R5:R27))</f>
        <v/>
      </c>
      <c r="S28" s="57" t="n"/>
      <c r="T28" s="57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1"/>
    <col width="9.140625" customWidth="1" style="14" min="2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0.6803964903235543</v>
      </c>
      <c r="M3" t="inlineStr">
        <is>
          <t>Objectif :</t>
        </is>
      </c>
      <c r="N3" s="67">
        <f>(INDEX(N5:N22,MATCH(MAX(O6:O8),O5:O22,0))/0.85)</f>
        <v/>
      </c>
      <c r="O3" s="58">
        <f>(MAX(O6:O8)*0.75)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7">
        <f>(D5/B5)</f>
        <v/>
      </c>
      <c r="D5" s="57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7">
        <f>(T5/R5)</f>
        <v/>
      </c>
      <c r="T5" s="57">
        <f>D5</f>
        <v/>
      </c>
    </row>
    <row r="6">
      <c r="B6" s="79" t="n">
        <v>0.07539592000000001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67">
        <f>-B7/2</f>
        <v/>
      </c>
      <c r="O6" s="57" t="n">
        <v>0.3</v>
      </c>
      <c r="P6" s="57">
        <f>(O6*N6)</f>
        <v/>
      </c>
      <c r="Q6" s="58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7">
        <f>(E6)</f>
        <v/>
      </c>
    </row>
    <row r="7">
      <c r="B7" s="67" t="n">
        <v>-3.793</v>
      </c>
      <c r="C7" s="57">
        <f>D7/B7</f>
        <v/>
      </c>
      <c r="D7" s="57">
        <f>-1.29461908</f>
        <v/>
      </c>
      <c r="N7" s="67">
        <f>-B7/2</f>
        <v/>
      </c>
      <c r="O7" s="57" t="n">
        <v>0.37</v>
      </c>
      <c r="P7" s="57">
        <f>(O7*N7)</f>
        <v/>
      </c>
      <c r="Q7" s="58" t="inlineStr">
        <is>
          <t>Done</t>
        </is>
      </c>
      <c r="R7" s="67" t="n"/>
      <c r="S7" s="57" t="n"/>
      <c r="T7" s="57" t="n"/>
      <c r="U7" s="58" t="n"/>
    </row>
    <row r="8">
      <c r="B8" s="67" t="n">
        <v>-1.89</v>
      </c>
      <c r="C8" s="57">
        <f>D8/B8</f>
        <v/>
      </c>
      <c r="D8" s="57" t="n">
        <v>-1.04446569</v>
      </c>
      <c r="N8" s="67">
        <f>-B8</f>
        <v/>
      </c>
      <c r="O8" s="57">
        <f>P8/N8</f>
        <v/>
      </c>
      <c r="P8" s="57">
        <f>-D8</f>
        <v/>
      </c>
      <c r="Q8" s="58" t="inlineStr">
        <is>
          <t>Done</t>
        </is>
      </c>
      <c r="R8" s="67" t="n"/>
      <c r="S8" s="57" t="n"/>
      <c r="T8" s="57" t="n"/>
    </row>
    <row r="9">
      <c r="B9" s="67" t="n"/>
      <c r="C9" s="57" t="n"/>
      <c r="D9" s="57" t="n"/>
      <c r="N9" s="67">
        <f>4*($B$14-B7-B8)/5+B7+B8</f>
        <v/>
      </c>
      <c r="O9" s="57">
        <f>($C$5*[1]Params!K11)</f>
        <v/>
      </c>
      <c r="P9" s="57">
        <f>(O9*N9)</f>
        <v/>
      </c>
      <c r="Q9" s="58" t="n"/>
    </row>
    <row r="10">
      <c r="B10" s="67" t="n"/>
      <c r="C10" s="57" t="n"/>
      <c r="D10" s="57" t="n"/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7">
        <f>(SUM(B5:B13))</f>
        <v/>
      </c>
      <c r="D14" s="57">
        <f>(SUM(D5:D13))</f>
        <v/>
      </c>
    </row>
    <row r="15"/>
    <row r="16"/>
    <row r="17">
      <c r="N17" s="67" t="n"/>
      <c r="R17" s="67">
        <f>(SUM(R5:R16))</f>
        <v/>
      </c>
      <c r="T17" s="57">
        <f>(SUM(T5:T16))</f>
        <v/>
      </c>
    </row>
    <row r="18"/>
    <row r="19"/>
    <row r="20">
      <c r="K20" s="58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9.522613938501055e-06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260.42</v>
      </c>
      <c r="C6" s="60" t="n">
        <v>0</v>
      </c>
      <c r="D6" s="61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86">
        <f>($C$5*[1]Params!K8)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86">
        <f>($C$5*[1]Params!K9)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86">
        <f>($C$5*[1]Params!K10)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86">
        <f>($C$5*[1]Params!K11)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0.004127685991030612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80">
        <f>($C$5*[1]Params!K8)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77">
        <f>($C$5*[1]Params!K9)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77">
        <f>($C$5*[1]Params!K10)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77">
        <f>($C$5*[1]Params!K11)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98.75620658587599</v>
      </c>
      <c r="M3" t="inlineStr">
        <is>
          <t>Objectif :</t>
        </is>
      </c>
      <c r="N3" s="24">
        <f>(INDEX(N5:N26,MATCH(MAX(O6:O9,O23:O25,O14:O17),O5:O26,0))/0.85)</f>
        <v/>
      </c>
      <c r="O3" s="58">
        <f>(MAX(O14:O17,O23:O25,O6:O9)*0.75)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(B46*J3)</f>
        <v/>
      </c>
      <c r="K4" s="4">
        <f>(J4/D46-1)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-B36</f>
        <v/>
      </c>
      <c r="O7" s="57">
        <f>P7/N7</f>
        <v/>
      </c>
      <c r="P7" s="57">
        <f>-D36</f>
        <v/>
      </c>
      <c r="Q7" t="inlineStr">
        <is>
          <t>Done</t>
        </is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($C$16*[1]Params!K11)</f>
        <v/>
      </c>
      <c r="P9" s="57">
        <f>(O9*N9)</f>
        <v/>
      </c>
      <c r="Q9" t="inlineStr">
        <is>
          <t>Done</t>
        </is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7">
        <f>(T13/R13)</f>
        <v/>
      </c>
      <c r="T13" s="57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I14" s="24" t="n"/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5">
        <f>(B18)</f>
        <v/>
      </c>
      <c r="S14" s="60">
        <f>(C18)</f>
        <v/>
      </c>
      <c r="T14" s="61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-B37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24">
        <f>B19+B22+B39-N25</f>
        <v/>
      </c>
      <c r="S15" s="57">
        <f>(T15/R15)</f>
        <v/>
      </c>
      <c r="T15" s="57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-B40-N25</f>
        <v/>
      </c>
      <c r="O16" s="57">
        <f>C40</f>
        <v/>
      </c>
      <c r="P16" s="57">
        <f>(O16*N16)</f>
        <v/>
      </c>
      <c r="Q16" t="inlineStr">
        <is>
          <t>Done</t>
        </is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6.0534095</v>
      </c>
      <c r="C17" s="57">
        <f>(D17/B17)</f>
        <v/>
      </c>
      <c r="D17" s="57" t="n">
        <v>123.54</v>
      </c>
      <c r="E17" t="inlineStr">
        <is>
          <t>DCA1</t>
        </is>
      </c>
      <c r="N17" s="24">
        <f>-B42</f>
        <v/>
      </c>
      <c r="O17" s="57">
        <f>P17/N17</f>
        <v/>
      </c>
      <c r="P17" s="57">
        <f>-D42</f>
        <v/>
      </c>
      <c r="Q17" t="inlineStr">
        <is>
          <t>Done</t>
        </is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0.06351395</v>
      </c>
      <c r="C18" s="60" t="n">
        <v>0</v>
      </c>
      <c r="D18" s="61" t="n">
        <v>0</v>
      </c>
      <c r="E18" s="58">
        <f>B18*J3</f>
        <v/>
      </c>
      <c r="N18" s="24" t="n"/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1.87547299</v>
      </c>
      <c r="C19" s="57">
        <f>(D19/B19)</f>
        <v/>
      </c>
      <c r="D19" s="57" t="n">
        <v>40.3</v>
      </c>
      <c r="E19" t="inlineStr">
        <is>
          <t>DCA2</t>
        </is>
      </c>
      <c r="O19" s="57" t="n"/>
      <c r="P19" s="57">
        <f>(SUM(P14:P17))</f>
        <v/>
      </c>
      <c r="R19" s="24">
        <f>(B26+B27)+B43+B44</f>
        <v/>
      </c>
      <c r="S19" s="57" t="n">
        <v>0</v>
      </c>
      <c r="T19" s="57">
        <f>(D26+D27)+D43+D44</f>
        <v/>
      </c>
      <c r="U19" t="inlineStr">
        <is>
          <t>DCA2*</t>
        </is>
      </c>
      <c r="V19" s="58">
        <f>-T19+R19*$J$3</f>
        <v/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8">
        <f>T22/R22</f>
        <v/>
      </c>
      <c r="T22" s="58">
        <f>D36</f>
        <v/>
      </c>
      <c r="U22" t="inlineStr">
        <is>
          <t>Ph 2/5</t>
        </is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24">
        <f>B37-B37</f>
        <v/>
      </c>
      <c r="S23" s="58" t="n">
        <v>0</v>
      </c>
      <c r="T23" s="57">
        <f>D37-B37*19.42078</f>
        <v/>
      </c>
      <c r="U23" t="inlineStr">
        <is>
          <t>DCA1 2/5</t>
        </is>
      </c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-B39</f>
        <v/>
      </c>
      <c r="O24" s="57">
        <f>($S$15*[1]Params!K9)</f>
        <v/>
      </c>
      <c r="P24" s="57">
        <f>(O24*N24)</f>
        <v/>
      </c>
      <c r="Q24" t="inlineStr">
        <is>
          <t>Done</t>
        </is>
      </c>
      <c r="R24" s="24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0.382</f>
        <v/>
      </c>
      <c r="O25" s="57">
        <f>C40</f>
        <v/>
      </c>
      <c r="P25" s="57">
        <f>(O25*N25)</f>
        <v/>
      </c>
      <c r="Q25" t="inlineStr">
        <is>
          <t>Done</t>
        </is>
      </c>
      <c r="R25" s="24">
        <f>B39-B39</f>
        <v/>
      </c>
      <c r="S25" s="57" t="n">
        <v>0</v>
      </c>
      <c r="T25" s="57">
        <f>D39-B39*20.2393</f>
        <v/>
      </c>
      <c r="U25" t="inlineStr">
        <is>
          <t>DCA2 2/5</t>
        </is>
      </c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4*($B$19+R19)/5-$N$25-N24-N23</f>
        <v/>
      </c>
      <c r="O26" s="57">
        <f>($S$15*[1]Params!K11)</f>
        <v/>
      </c>
      <c r="P26" s="57">
        <f>O26*N26</f>
        <v/>
      </c>
      <c r="R26" s="24">
        <f>N16-N16</f>
        <v/>
      </c>
      <c r="S26" s="57" t="n">
        <v>0</v>
      </c>
      <c r="T26" s="57">
        <f>-57.77+(N16)*19.42078</f>
        <v/>
      </c>
      <c r="U26" t="inlineStr">
        <is>
          <t>DCA1 3/5</t>
        </is>
      </c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R27" s="24">
        <f>N25-N25</f>
        <v/>
      </c>
      <c r="S27" s="58" t="n">
        <v>0</v>
      </c>
      <c r="T27" s="58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R28" s="24">
        <f>B41</f>
        <v/>
      </c>
      <c r="S28" s="57">
        <f>C41</f>
        <v/>
      </c>
      <c r="T28" s="57">
        <f>D41</f>
        <v/>
      </c>
      <c r="U28" t="inlineStr">
        <is>
          <t>Ph 4/5</t>
        </is>
      </c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R29" s="24">
        <f>B42-B42</f>
        <v/>
      </c>
      <c r="S29" s="57" t="n">
        <v>0</v>
      </c>
      <c r="T29" s="57">
        <f>-P17+N17*20.2879</f>
        <v/>
      </c>
      <c r="U29" t="inlineStr">
        <is>
          <t>DCA1 4/5</t>
        </is>
      </c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R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24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24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  <c r="U33" s="58" t="n"/>
    </row>
    <row r="34">
      <c r="B34" s="24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24" t="n">
        <v>0.11518</v>
      </c>
      <c r="C35" s="57">
        <f>D35/B35</f>
        <v/>
      </c>
      <c r="D35" s="57" t="n">
        <v>2.13</v>
      </c>
      <c r="E35" s="57" t="n"/>
      <c r="F35" s="24" t="n"/>
      <c r="H35" s="58" t="n"/>
      <c r="J35" s="58" t="n"/>
      <c r="S35" s="57" t="n"/>
      <c r="T35" s="57" t="n"/>
    </row>
    <row r="36">
      <c r="B36" s="24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>
      <c r="B37" s="24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>
      <c r="B38" s="24" t="n">
        <v>-0.1</v>
      </c>
      <c r="C38" s="57">
        <f>D38/B38</f>
        <v/>
      </c>
      <c r="D38" s="57">
        <f>-3.1462+0.026743</f>
        <v/>
      </c>
      <c r="E38" s="57" t="n"/>
      <c r="N38" s="24" t="n"/>
      <c r="P38" s="58" t="n"/>
      <c r="S38" s="57" t="n"/>
      <c r="T38" s="57" t="n"/>
    </row>
    <row r="39">
      <c r="B39" s="24" t="n">
        <v>-0.65</v>
      </c>
      <c r="C39" s="57">
        <f>D39/B39</f>
        <v/>
      </c>
      <c r="D39" s="57">
        <f>-21.40712492</f>
        <v/>
      </c>
      <c r="E39" s="57" t="n"/>
      <c r="N39" s="24">
        <f>N16+N25</f>
        <v/>
      </c>
      <c r="S39" s="57" t="n"/>
      <c r="T39" s="57" t="n"/>
    </row>
    <row r="40">
      <c r="B40" s="24" t="n">
        <v>-1.6148</v>
      </c>
      <c r="C40" s="57">
        <f>D40/B40</f>
        <v/>
      </c>
      <c r="D40" s="57" t="n">
        <v>-75.67129853</v>
      </c>
      <c r="E40" s="57" t="n"/>
      <c r="S40" s="57" t="n"/>
      <c r="T40" s="57" t="n"/>
    </row>
    <row r="41">
      <c r="B41" s="24" t="n">
        <v>-0.1088</v>
      </c>
      <c r="C41" s="57">
        <f>D41/B41</f>
        <v/>
      </c>
      <c r="D41" s="57">
        <f>-6.4064+0.054455</f>
        <v/>
      </c>
      <c r="E41" s="57" t="n"/>
      <c r="S41" s="57" t="n"/>
      <c r="T41" s="57" t="n"/>
    </row>
    <row r="42">
      <c r="B42" s="24" t="n">
        <v>-1.23</v>
      </c>
      <c r="C42" s="57">
        <f>D42/B42</f>
        <v/>
      </c>
      <c r="D42" s="57" t="n">
        <v>-136.74053841</v>
      </c>
      <c r="E42" s="57" t="n"/>
      <c r="S42" s="57" t="n"/>
      <c r="T42" s="57" t="n"/>
    </row>
    <row r="43">
      <c r="B43" s="24" t="n">
        <v>-0.375</v>
      </c>
      <c r="C43" s="57">
        <f>D43/B43</f>
        <v/>
      </c>
      <c r="D43" s="57" t="n">
        <v>-46.12956124</v>
      </c>
      <c r="E43" s="57" t="n"/>
      <c r="S43" s="57" t="n"/>
      <c r="T43" s="57" t="n"/>
    </row>
    <row r="44">
      <c r="B44" s="24" t="n">
        <v>0.42808296</v>
      </c>
      <c r="C44" s="57">
        <f>D44/B44</f>
        <v/>
      </c>
      <c r="D44" s="57" t="n">
        <v>43.5</v>
      </c>
      <c r="E44" s="57" t="n"/>
      <c r="S44" s="57" t="n"/>
      <c r="T44" s="57" t="n"/>
    </row>
    <row r="45">
      <c r="C45" s="57" t="n"/>
      <c r="D45" s="57" t="n"/>
      <c r="E45" s="57" t="n"/>
      <c r="S45" s="57" t="n"/>
      <c r="T45" s="57" t="n"/>
    </row>
    <row r="46">
      <c r="B46" s="24">
        <f>(SUM(B5:B45))</f>
        <v/>
      </c>
      <c r="C46" s="57" t="n"/>
      <c r="D46" s="57">
        <f>(SUM(D5:D45))</f>
        <v/>
      </c>
      <c r="E46" s="57" t="n"/>
      <c r="F46" t="inlineStr">
        <is>
          <t>Moy</t>
        </is>
      </c>
      <c r="G46" s="57">
        <f>(D46/B46)</f>
        <v/>
      </c>
      <c r="R46" s="24">
        <f>(SUM(R5:R36))</f>
        <v/>
      </c>
      <c r="S46" s="57" t="n"/>
      <c r="T46" s="57">
        <f>(SUM(T5:T36))</f>
        <v/>
      </c>
      <c r="V46" t="inlineStr">
        <is>
          <t>Moy</t>
        </is>
      </c>
      <c r="W46" s="57">
        <f>(T46/R46)</f>
        <v/>
      </c>
    </row>
    <row r="47">
      <c r="M47" s="24" t="n"/>
      <c r="S47" s="57" t="n"/>
      <c r="T47" s="57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0.103883299073285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0.25215083</v>
      </c>
      <c r="C6" s="60" t="n">
        <v>0</v>
      </c>
      <c r="D6" s="61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77">
        <f>($C$5*[1]Params!K9)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77">
        <f>($C$5*[1]Params!K10)</f>
        <v/>
      </c>
      <c r="P8" s="57">
        <f>(O8*N8)</f>
        <v/>
      </c>
      <c r="Q8" s="57">
        <f>Q6*3</f>
        <v/>
      </c>
    </row>
    <row r="9">
      <c r="C9" s="57" t="n"/>
      <c r="D9" s="57" t="n"/>
      <c r="E9" s="57" t="n"/>
      <c r="G9" s="57" t="n"/>
      <c r="N9" s="19">
        <f>($B$13/5)</f>
        <v/>
      </c>
      <c r="O9" s="77">
        <f>($C$5*[1]Params!K11)</f>
        <v/>
      </c>
      <c r="P9" s="57">
        <f>(O9*N9)</f>
        <v/>
      </c>
      <c r="Q9" s="57">
        <f>Q6*4</f>
        <v/>
      </c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6.046659059199597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7">
        <f>(D5/B5)</f>
        <v/>
      </c>
      <c r="D5" s="57" t="n">
        <v>12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7">
        <f>(T5/R5)</f>
        <v/>
      </c>
      <c r="T5" s="57">
        <f>D5-5.49217*N6</f>
        <v/>
      </c>
    </row>
    <row r="6">
      <c r="B6" s="2" t="n">
        <v>0.00262958</v>
      </c>
      <c r="C6" s="60" t="n">
        <v>0</v>
      </c>
      <c r="D6" s="60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-B7</f>
        <v/>
      </c>
      <c r="O6" s="7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7">
        <f>D7/B7</f>
        <v/>
      </c>
      <c r="D7" s="57">
        <f>-3.0961407</f>
        <v/>
      </c>
      <c r="E7" s="57" t="n"/>
      <c r="G7" s="57" t="n"/>
      <c r="H7" s="57" t="n"/>
      <c r="J7" s="57" t="n"/>
      <c r="N7" s="1">
        <f>2*($B$5+$B$6)/5-$N$6</f>
        <v/>
      </c>
      <c r="O7" s="77">
        <f>($C$5*[1]Params!K9)</f>
        <v/>
      </c>
      <c r="P7" s="57">
        <f>(O7*N7)</f>
        <v/>
      </c>
      <c r="R7" s="24">
        <f>B7-B7</f>
        <v/>
      </c>
      <c r="S7" s="57" t="n">
        <v>0</v>
      </c>
      <c r="T7" s="57">
        <f>D7-B7*5.49217</f>
        <v/>
      </c>
      <c r="U7" t="inlineStr">
        <is>
          <t>DCA4 1/5</t>
        </is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77">
        <f>($C$5*[1]Params!K10)</f>
        <v/>
      </c>
      <c r="P8" s="57">
        <f>(O8*N8)</f>
        <v/>
      </c>
      <c r="R8" s="19" t="n"/>
      <c r="S8" s="58" t="n"/>
      <c r="T8" s="58" t="n"/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77">
        <f>($C$5*[1]Params!K11)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  <row r="14"/>
    <row r="15"/>
    <row r="16"/>
    <row r="17"/>
    <row r="18">
      <c r="R18">
        <f>(SUM(R5:R17))</f>
        <v/>
      </c>
      <c r="T18" s="57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0.5646752061079905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7">
        <f>(T5/R5)</f>
        <v/>
      </c>
      <c r="T5" s="57">
        <f>(SUM(D5:D7))</f>
        <v/>
      </c>
    </row>
    <row r="6">
      <c r="B6" s="20" t="n">
        <v>0.82190023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-B12</f>
        <v/>
      </c>
      <c r="O7" s="57">
        <f>P7/N7</f>
        <v/>
      </c>
      <c r="P7" s="57">
        <f>-D12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  <c r="U7" s="58" t="n"/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($C$5*[1]Params!K10)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($C$5*[1]Params!K11)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4"/>
    <col width="9.140625" customWidth="1" style="14" min="2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15.14035717850746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7">
        <f>(D5/B5)</f>
        <v/>
      </c>
      <c r="D5" s="57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7">
        <f>(T5/R5)</f>
        <v/>
      </c>
      <c r="T5" s="57">
        <f>D5+B7*12.8154</f>
        <v/>
      </c>
    </row>
    <row r="6">
      <c r="B6" s="2" t="n">
        <v>0.00098109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1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0">
        <f>(C6)</f>
        <v/>
      </c>
      <c r="T6" s="60">
        <f>(D6)</f>
        <v/>
      </c>
    </row>
    <row r="7">
      <c r="B7" s="1" t="n">
        <v>-0.29</v>
      </c>
      <c r="C7" s="57">
        <f>D7/B7</f>
        <v/>
      </c>
      <c r="D7" s="57" t="n">
        <v>-4.89894018</v>
      </c>
      <c r="N7" s="1">
        <f>2*(B$14-$B$7)/5+$B$7</f>
        <v/>
      </c>
      <c r="O7" s="57">
        <f>($S$5*[1]Params!K9)</f>
        <v/>
      </c>
      <c r="P7" s="57">
        <f>(O7*N7)</f>
        <v/>
      </c>
      <c r="R7" s="1">
        <f>B7-B7</f>
        <v/>
      </c>
      <c r="S7" s="57" t="n">
        <v>0</v>
      </c>
      <c r="T7" s="58">
        <f>D7+N6*12.8154</f>
        <v/>
      </c>
      <c r="U7" s="58" t="n"/>
    </row>
    <row r="8">
      <c r="C8" s="57" t="n"/>
      <c r="D8" s="57" t="n"/>
      <c r="N8" s="1">
        <f>(B$14-$B$7)/5</f>
        <v/>
      </c>
      <c r="O8" s="57">
        <f>($S$5*[1]Params!K10)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">
        <f>(B$14-$B$7)/5</f>
        <v/>
      </c>
      <c r="O9" s="57">
        <f>($S$5*[1]Params!K11)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4"/>
    <col width="9.140625" customWidth="1" style="14" min="245" max="16384"/>
  </cols>
  <sheetData>
    <row r="1"/>
    <row r="2"/>
    <row r="3">
      <c r="I3" t="inlineStr">
        <is>
          <t>Actual Price :</t>
        </is>
      </c>
      <c r="J3" s="77" t="n">
        <v>2.484833823939696</v>
      </c>
      <c r="N3" s="19" t="n"/>
      <c r="O3" s="84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7">
        <f>(D5/B5)</f>
        <v/>
      </c>
      <c r="D5" s="57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" t="n">
        <v>0.00021842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19">
        <f>(B$14/5)</f>
        <v/>
      </c>
      <c r="O6" s="57">
        <f>($C$5*[1]Params!K8)</f>
        <v/>
      </c>
      <c r="P6" s="57">
        <f>(O6*N6)</f>
        <v/>
      </c>
      <c r="R6" s="19">
        <f>(B6)</f>
        <v/>
      </c>
      <c r="S6" s="57">
        <f>(C6)</f>
        <v/>
      </c>
      <c r="T6" s="57">
        <f>(D6)</f>
        <v/>
      </c>
    </row>
    <row r="7">
      <c r="B7" s="19" t="n"/>
      <c r="C7" s="57" t="n"/>
      <c r="D7" s="57" t="n"/>
      <c r="N7" s="19">
        <f>(B$14/5)</f>
        <v/>
      </c>
      <c r="O7" s="57">
        <f>($C$5*[1]Params!K9)</f>
        <v/>
      </c>
      <c r="P7" s="57">
        <f>(O7*N7)</f>
        <v/>
      </c>
      <c r="R7" s="19" t="n"/>
      <c r="S7" s="57" t="n"/>
      <c r="T7" s="58" t="n"/>
      <c r="U7" s="58" t="n"/>
    </row>
    <row r="8">
      <c r="C8" s="57" t="n"/>
      <c r="D8" s="57" t="n"/>
      <c r="N8" s="19">
        <f>(B$14/5)</f>
        <v/>
      </c>
      <c r="O8" s="57">
        <f>($C$5*[1]Params!K10)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9">
        <f>(B$14/5)</f>
        <v/>
      </c>
      <c r="O9" s="57">
        <f>($C$5*[1]Params!K11)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0.4050906081737471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>
        <f>(INDEX(B5:B8,MATCH(O6/2,C5:C8,0)))</f>
        <v/>
      </c>
      <c r="O6" s="57">
        <f>(MIN(C5:C8)*2)</f>
        <v/>
      </c>
      <c r="P6" s="57">
        <f>(O6*N6/2)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($C$5*[1]Params!K8)</f>
        <v/>
      </c>
      <c r="P11" s="57">
        <f>(O11*N11)</f>
        <v/>
      </c>
    </row>
    <row r="12">
      <c r="N12">
        <f>($B$5/5)</f>
        <v/>
      </c>
      <c r="O12" s="57">
        <f>($C$5*[1]Params!K9)</f>
        <v/>
      </c>
      <c r="P12" s="57">
        <f>(O12*N12)</f>
        <v/>
      </c>
    </row>
    <row r="13">
      <c r="N13">
        <f>($B$5/5)</f>
        <v/>
      </c>
      <c r="O13" s="57">
        <f>($C$5*[1]Params!K10)</f>
        <v/>
      </c>
      <c r="P13" s="57">
        <f>(O13*N13)</f>
        <v/>
      </c>
    </row>
    <row r="14">
      <c r="N14">
        <f>($B$5/5)</f>
        <v/>
      </c>
      <c r="O14" s="57">
        <f>($C$5*[1]Params!K11)</f>
        <v/>
      </c>
      <c r="P14" s="57">
        <f>(O14*N14)</f>
        <v/>
      </c>
    </row>
    <row r="17">
      <c r="P17" s="57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($C$6*[1]Params!K8)</f>
        <v/>
      </c>
      <c r="P20" s="57">
        <f>(O20*N20)</f>
        <v/>
      </c>
    </row>
    <row r="21">
      <c r="N21">
        <f>($B$6/5)</f>
        <v/>
      </c>
      <c r="O21" s="57">
        <f>($C$6*[1]Params!K9)</f>
        <v/>
      </c>
      <c r="P21" s="57">
        <f>(O21*N21)</f>
        <v/>
      </c>
    </row>
    <row r="22">
      <c r="N22">
        <f>($B$6/5)</f>
        <v/>
      </c>
      <c r="O22" s="57">
        <f>($C$6*[1]Params!K10)</f>
        <v/>
      </c>
      <c r="P22" s="57">
        <f>(O22*N22)</f>
        <v/>
      </c>
    </row>
    <row r="23">
      <c r="N23">
        <f>($B$6/5)</f>
        <v/>
      </c>
      <c r="O23" s="57">
        <f>($C$6*[1]Params!K11)</f>
        <v/>
      </c>
      <c r="P23" s="57">
        <f>(O23*N23)</f>
        <v/>
      </c>
    </row>
    <row r="26">
      <c r="P26" s="57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($C$7*[1]Params!K8)</f>
        <v/>
      </c>
      <c r="P29" s="57">
        <f>(O29*N29)</f>
        <v/>
      </c>
    </row>
    <row r="30">
      <c r="N30">
        <f>($B$7/5)</f>
        <v/>
      </c>
      <c r="O30" s="57">
        <f>($C$7*[1]Params!K9)</f>
        <v/>
      </c>
      <c r="P30" s="57">
        <f>(O30*N30)</f>
        <v/>
      </c>
    </row>
    <row r="31">
      <c r="N31">
        <f>($B$7/5)</f>
        <v/>
      </c>
      <c r="O31" s="57">
        <f>($C$7*[1]Params!K10)</f>
        <v/>
      </c>
      <c r="P31" s="57">
        <f>(O31*N31)</f>
        <v/>
      </c>
    </row>
    <row r="32">
      <c r="N32">
        <f>($B$7/5)</f>
        <v/>
      </c>
      <c r="O32" s="57">
        <f>($C$7*[1]Params!K11)</f>
        <v/>
      </c>
      <c r="P32" s="57">
        <f>(O32*N32)</f>
        <v/>
      </c>
    </row>
    <row r="35">
      <c r="P35" s="57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0.005302375530289354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(SUM(K35:K43)-C77*J3+D77)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(-SUM(E9:E31))</f>
        <v/>
      </c>
      <c r="K14" s="58">
        <f>(J14-M38-M39-M40-M42-L43)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(J15+M47)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  <c r="R18" s="58" t="n"/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7" t="n">
        <v>4</v>
      </c>
      <c r="D30" s="57" t="n">
        <v>0.01</v>
      </c>
      <c r="E30" s="57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7" t="n">
        <v>3.5</v>
      </c>
      <c r="H35" s="68">
        <f>G51</f>
        <v/>
      </c>
      <c r="I35" s="58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7" t="n">
        <v>3.5</v>
      </c>
      <c r="H36" s="68">
        <f>G52</f>
        <v/>
      </c>
      <c r="I36" s="58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7" t="n">
        <v>3.5</v>
      </c>
      <c r="H37" s="68">
        <f>G53</f>
        <v/>
      </c>
      <c r="I37" s="58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7" t="n">
        <v>0</v>
      </c>
      <c r="H38" s="68">
        <f>G53</f>
        <v/>
      </c>
      <c r="I38" s="58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7" t="n">
        <v>0</v>
      </c>
      <c r="H39" s="68">
        <f>H38</f>
        <v/>
      </c>
      <c r="I39" s="58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7" t="n">
        <v>0</v>
      </c>
      <c r="H40" s="68">
        <f>H39</f>
        <v/>
      </c>
      <c r="I40" s="58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8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7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(-270/3)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9" t="n">
        <v>0.01</v>
      </c>
      <c r="E5" s="59">
        <f>C5*D5</f>
        <v/>
      </c>
    </row>
    <row r="6">
      <c r="B6" t="inlineStr">
        <is>
          <t>Fico</t>
        </is>
      </c>
      <c r="C6">
        <f>48*(G3-2)</f>
        <v/>
      </c>
      <c r="D6" s="59" t="n">
        <v>0.0001424</v>
      </c>
      <c r="E6" s="59">
        <f>C6*D6</f>
        <v/>
      </c>
    </row>
    <row r="9">
      <c r="E9" s="59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1"/>
    <col width="9.140625" customWidth="1" style="14" min="2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7.591156559805806</v>
      </c>
      <c r="M3" t="inlineStr">
        <is>
          <t>Objectif :</t>
        </is>
      </c>
      <c r="N3" s="24">
        <f>(INDEX(N5:N21,MATCH(MAX(O6:O8),O5:O21,0))/0.85)</f>
        <v/>
      </c>
      <c r="O3" s="58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7">
        <f>4</f>
        <v/>
      </c>
      <c r="D5" s="57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1.357e-05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1">
        <f>$B$5/5</f>
        <v/>
      </c>
      <c r="O6" s="57">
        <f>($C$5*[1]Params!K8)</f>
        <v/>
      </c>
      <c r="P6" s="57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7">
        <f>(R6*J3)</f>
        <v/>
      </c>
    </row>
    <row r="7">
      <c r="B7" s="1" t="n">
        <v>-0.28055386</v>
      </c>
      <c r="C7" s="57">
        <f>D7/B7</f>
        <v/>
      </c>
      <c r="D7" s="57" t="n">
        <v>-4</v>
      </c>
      <c r="N7" s="1">
        <f>$B$5/5</f>
        <v/>
      </c>
      <c r="O7" s="57">
        <f>($C$5*[1]Params!K9)</f>
        <v/>
      </c>
      <c r="P7" s="57">
        <f>O7*N7</f>
        <v/>
      </c>
      <c r="Q7" t="inlineStr">
        <is>
          <t>Done</t>
        </is>
      </c>
      <c r="R7" s="67" t="n"/>
      <c r="S7" s="57" t="n"/>
      <c r="T7" s="57" t="n"/>
    </row>
    <row r="8">
      <c r="B8" s="1" t="n"/>
      <c r="C8" s="57" t="n"/>
      <c r="D8" s="57" t="n"/>
      <c r="N8" s="1">
        <f>$B$5/5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1" t="n"/>
      <c r="S8" s="57" t="n"/>
      <c r="T8" s="57" t="n"/>
    </row>
    <row r="9">
      <c r="B9" s="1" t="n"/>
      <c r="C9" s="57" t="n"/>
      <c r="D9" s="57" t="n"/>
      <c r="N9" s="1">
        <f>($B$13-B7)/5</f>
        <v/>
      </c>
      <c r="O9" s="57">
        <f>($C$5*[1]Params!K11)</f>
        <v/>
      </c>
      <c r="P9" s="57">
        <f>(O9*N9)</f>
        <v/>
      </c>
      <c r="R9" s="1" t="n"/>
      <c r="S9" s="58" t="n"/>
      <c r="T9" s="58" t="n"/>
    </row>
    <row r="10">
      <c r="B10" s="1" t="n"/>
      <c r="C10" s="58" t="n"/>
      <c r="D10" s="57" t="n"/>
      <c r="N10" s="1" t="n"/>
      <c r="P10" s="57" t="n"/>
    </row>
    <row r="11">
      <c r="B11" s="1" t="n"/>
      <c r="C11" s="58" t="n"/>
      <c r="D11" s="57" t="n"/>
      <c r="P11" s="57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  <row r="14"/>
    <row r="15"/>
    <row r="16"/>
    <row r="17"/>
    <row r="18">
      <c r="N18" s="1">
        <f>N6+N7+N8+B7</f>
        <v/>
      </c>
      <c r="O18" s="58" t="n"/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0.5087233265396891</v>
      </c>
      <c r="M3" t="inlineStr">
        <is>
          <t>Objectif :</t>
        </is>
      </c>
      <c r="N3" s="24">
        <f>(INDEX(N5:N21,MATCH(MAX(O6:O7),O5:O21,0))/0.85)</f>
        <v/>
      </c>
      <c r="O3" s="58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0.74270082</v>
      </c>
      <c r="C6" s="60" t="n">
        <v>0</v>
      </c>
      <c r="D6" s="60">
        <f>(B6*C6)</f>
        <v/>
      </c>
      <c r="E6" s="57">
        <f>(B6*J3)</f>
        <v/>
      </c>
      <c r="M6" t="inlineStr">
        <is>
          <t>Objectif</t>
        </is>
      </c>
      <c r="N6" s="1">
        <f>-B10</f>
        <v/>
      </c>
      <c r="O6" s="57">
        <f>P6/N6</f>
        <v/>
      </c>
      <c r="P6" s="57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7">
        <f>(R6*J3)</f>
        <v/>
      </c>
    </row>
    <row r="7">
      <c r="B7" s="1" t="n">
        <v>114.98538983</v>
      </c>
      <c r="C7" s="57">
        <f>(D7/B7)</f>
        <v/>
      </c>
      <c r="D7" s="57" t="n">
        <v>40.3</v>
      </c>
      <c r="E7" t="inlineStr">
        <is>
          <t>DCA2</t>
        </is>
      </c>
      <c r="N7" s="1">
        <f>-B11</f>
        <v/>
      </c>
      <c r="O7" s="57">
        <f>($S$7*[1]Params!K9)</f>
        <v/>
      </c>
      <c r="P7" s="57">
        <f>-D11</f>
        <v/>
      </c>
      <c r="Q7" t="inlineStr">
        <is>
          <t>Done</t>
        </is>
      </c>
      <c r="R7" s="67">
        <f>B7+B10</f>
        <v/>
      </c>
      <c r="S7" s="57">
        <f>(T7/R7)</f>
        <v/>
      </c>
      <c r="T7" s="57">
        <f>D7+B10*0.3388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3*($B$13-B11-B10)/5-N7-N6</f>
        <v/>
      </c>
      <c r="O8" s="57">
        <f>($C$7*[1]Params!K10)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($C$7*[1]Params!K11)</f>
        <v/>
      </c>
      <c r="P9" s="57">
        <f>(O9*N9)</f>
        <v/>
      </c>
      <c r="R9" s="1">
        <f>B10-B10</f>
        <v/>
      </c>
      <c r="S9" s="58" t="n">
        <v>0</v>
      </c>
      <c r="T9" s="58">
        <f>D10-B10*0.3388</f>
        <v/>
      </c>
    </row>
    <row r="10">
      <c r="B10" s="1" t="n">
        <v>-22.57</v>
      </c>
      <c r="C10" s="58">
        <f>D10/B10</f>
        <v/>
      </c>
      <c r="D10" s="57" t="n">
        <v>-10.08242897</v>
      </c>
      <c r="N10" s="1" t="n"/>
      <c r="P10" s="57" t="n"/>
    </row>
    <row r="11">
      <c r="B11" s="1" t="n">
        <v>-22.5</v>
      </c>
      <c r="C11" s="58">
        <f>D11/B11</f>
        <v/>
      </c>
      <c r="D11" s="57" t="n">
        <v>-12.306</v>
      </c>
      <c r="P11" s="57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2024-01-10T06:44:57Z</dcterms:modified>
  <cp:lastModifiedBy>Tiko</cp:lastModifiedBy>
</cp:coreProperties>
</file>