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Y2" i="3"/>
  <c r="D234"/>
  <c r="E234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4" i="32"/>
  <c r="C12"/>
  <c r="D11"/>
  <c r="D14" s="1"/>
  <c r="G13" s="1"/>
  <c r="C10"/>
  <c r="T9"/>
  <c r="S9"/>
  <c r="R9"/>
  <c r="C9"/>
  <c r="T8"/>
  <c r="S8" s="1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O6" s="1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C5"/>
  <c r="O9" s="1"/>
  <c r="P9" s="1"/>
  <c r="J4"/>
  <c r="D41" i="28"/>
  <c r="C41" s="1"/>
  <c r="S28" s="1"/>
  <c r="C40"/>
  <c r="D39"/>
  <c r="C39" s="1"/>
  <c r="D38"/>
  <c r="C38" s="1"/>
  <c r="O8" s="1"/>
  <c r="C37"/>
  <c r="C36"/>
  <c r="C35"/>
  <c r="B34"/>
  <c r="C34" s="1"/>
  <c r="D33"/>
  <c r="C33"/>
  <c r="C32"/>
  <c r="C31"/>
  <c r="C30"/>
  <c r="D29"/>
  <c r="C29" s="1"/>
  <c r="T28"/>
  <c r="R28"/>
  <c r="C28"/>
  <c r="B28"/>
  <c r="C27"/>
  <c r="C26"/>
  <c r="B26"/>
  <c r="T25"/>
  <c r="R25"/>
  <c r="O25"/>
  <c r="N25"/>
  <c r="P25" s="1"/>
  <c r="T27" s="1"/>
  <c r="C25"/>
  <c r="T24"/>
  <c r="S24" s="1"/>
  <c r="R24"/>
  <c r="N24"/>
  <c r="C24"/>
  <c r="T23"/>
  <c r="R23"/>
  <c r="N23"/>
  <c r="C23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O16"/>
  <c r="N16"/>
  <c r="R26" s="1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O17" s="1"/>
  <c r="P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3" i="27"/>
  <c r="B13"/>
  <c r="G12"/>
  <c r="N9"/>
  <c r="N8"/>
  <c r="N7"/>
  <c r="N6"/>
  <c r="E6"/>
  <c r="D6"/>
  <c r="C5"/>
  <c r="O8" s="1"/>
  <c r="P8" s="1"/>
  <c r="J4"/>
  <c r="K4" s="1"/>
  <c r="B21" i="26"/>
  <c r="C19"/>
  <c r="E18"/>
  <c r="C18"/>
  <c r="C17"/>
  <c r="C16"/>
  <c r="C15"/>
  <c r="P14"/>
  <c r="N14"/>
  <c r="C14"/>
  <c r="C13"/>
  <c r="C12"/>
  <c r="T11"/>
  <c r="R11"/>
  <c r="C11"/>
  <c r="T10"/>
  <c r="S10" s="1"/>
  <c r="R10"/>
  <c r="C10"/>
  <c r="R9"/>
  <c r="N9" s="1"/>
  <c r="D9"/>
  <c r="D21" s="1"/>
  <c r="G20" s="1"/>
  <c r="T8"/>
  <c r="R8"/>
  <c r="N17" s="1"/>
  <c r="C8"/>
  <c r="T7"/>
  <c r="R7"/>
  <c r="E7"/>
  <c r="U6"/>
  <c r="T6"/>
  <c r="S6" s="1"/>
  <c r="R6"/>
  <c r="R24" s="1"/>
  <c r="P6"/>
  <c r="O6"/>
  <c r="N6"/>
  <c r="C6"/>
  <c r="O17" s="1"/>
  <c r="P17" s="1"/>
  <c r="T5"/>
  <c r="S5"/>
  <c r="R5"/>
  <c r="C5"/>
  <c r="O9" s="1"/>
  <c r="P9" s="1"/>
  <c r="J4"/>
  <c r="K4" s="1"/>
  <c r="B10" i="25"/>
  <c r="N9" s="1"/>
  <c r="N7"/>
  <c r="E7"/>
  <c r="D7"/>
  <c r="E6"/>
  <c r="D6"/>
  <c r="D10" s="1"/>
  <c r="G9" s="1"/>
  <c r="C5"/>
  <c r="O9" s="1"/>
  <c r="P9" s="1"/>
  <c r="J4"/>
  <c r="K4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E37" i="23"/>
  <c r="C37"/>
  <c r="E36"/>
  <c r="C36"/>
  <c r="C35"/>
  <c r="B35"/>
  <c r="C34"/>
  <c r="C33"/>
  <c r="B32"/>
  <c r="E32" s="1"/>
  <c r="C31"/>
  <c r="C30"/>
  <c r="C29"/>
  <c r="C28"/>
  <c r="C27"/>
  <c r="D26"/>
  <c r="B26"/>
  <c r="T25"/>
  <c r="R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N12"/>
  <c r="C12"/>
  <c r="R11"/>
  <c r="S11" s="1"/>
  <c r="C11"/>
  <c r="S10"/>
  <c r="R10"/>
  <c r="C10"/>
  <c r="B9"/>
  <c r="R9" s="1"/>
  <c r="S9" s="1"/>
  <c r="R8"/>
  <c r="S8" s="1"/>
  <c r="C8"/>
  <c r="T7"/>
  <c r="R7"/>
  <c r="D7"/>
  <c r="R6"/>
  <c r="T6" s="1"/>
  <c r="D6"/>
  <c r="R5"/>
  <c r="D5"/>
  <c r="D39" s="1"/>
  <c r="D19" i="22"/>
  <c r="D18"/>
  <c r="D17"/>
  <c r="D16"/>
  <c r="D15"/>
  <c r="D14"/>
  <c r="D13"/>
  <c r="D12"/>
  <c r="D11"/>
  <c r="D10"/>
  <c r="D9"/>
  <c r="D8"/>
  <c r="B7"/>
  <c r="B21" s="1"/>
  <c r="J4" s="1"/>
  <c r="E6"/>
  <c r="D6"/>
  <c r="D5"/>
  <c r="D21" s="1"/>
  <c r="B15" i="21"/>
  <c r="C13"/>
  <c r="C12"/>
  <c r="C11"/>
  <c r="C10"/>
  <c r="C9"/>
  <c r="T8"/>
  <c r="R8"/>
  <c r="U8" s="1"/>
  <c r="C8"/>
  <c r="T7"/>
  <c r="S7" s="1"/>
  <c r="R7"/>
  <c r="N8" s="1"/>
  <c r="C7"/>
  <c r="O9" s="1"/>
  <c r="R6"/>
  <c r="N6"/>
  <c r="E6"/>
  <c r="D6"/>
  <c r="D15" s="1"/>
  <c r="G14" s="1"/>
  <c r="T5"/>
  <c r="S5"/>
  <c r="R5"/>
  <c r="R21" s="1"/>
  <c r="C5"/>
  <c r="J4"/>
  <c r="K4" s="1"/>
  <c r="B11" i="20"/>
  <c r="R9"/>
  <c r="D9"/>
  <c r="T9" s="1"/>
  <c r="T8"/>
  <c r="R8"/>
  <c r="N8"/>
  <c r="C8"/>
  <c r="T7"/>
  <c r="R7"/>
  <c r="O7"/>
  <c r="D7"/>
  <c r="C7"/>
  <c r="R6"/>
  <c r="P6"/>
  <c r="O6"/>
  <c r="N6"/>
  <c r="N7" s="1"/>
  <c r="E6"/>
  <c r="D6"/>
  <c r="D11" s="1"/>
  <c r="G10" s="1"/>
  <c r="T5"/>
  <c r="S5"/>
  <c r="R5"/>
  <c r="R22" s="1"/>
  <c r="C5"/>
  <c r="O9" s="1"/>
  <c r="J4"/>
  <c r="B10" i="19"/>
  <c r="N9"/>
  <c r="N8"/>
  <c r="O7"/>
  <c r="P7" s="1"/>
  <c r="N7"/>
  <c r="N6"/>
  <c r="E6"/>
  <c r="D6"/>
  <c r="D10" s="1"/>
  <c r="C5"/>
  <c r="O9" s="1"/>
  <c r="P9" s="1"/>
  <c r="J4"/>
  <c r="B10" i="18"/>
  <c r="N9" s="1"/>
  <c r="N7"/>
  <c r="E6"/>
  <c r="D6"/>
  <c r="D10" s="1"/>
  <c r="G9" s="1"/>
  <c r="C5"/>
  <c r="O7" s="1"/>
  <c r="P7" s="1"/>
  <c r="J4"/>
  <c r="K4" s="1"/>
  <c r="B13" i="17"/>
  <c r="N9" s="1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B8"/>
  <c r="R8" s="1"/>
  <c r="T7"/>
  <c r="S7" s="1"/>
  <c r="R7"/>
  <c r="R13" s="1"/>
  <c r="C7"/>
  <c r="T6"/>
  <c r="S6"/>
  <c r="O6" s="1"/>
  <c r="R6"/>
  <c r="E6"/>
  <c r="D6"/>
  <c r="D14" s="1"/>
  <c r="T5"/>
  <c r="R5"/>
  <c r="U5" s="1"/>
  <c r="C5"/>
  <c r="O9" s="1"/>
  <c r="B13" i="15"/>
  <c r="N9" s="1"/>
  <c r="O9"/>
  <c r="N8"/>
  <c r="O7"/>
  <c r="N6"/>
  <c r="E6"/>
  <c r="D6"/>
  <c r="D13" s="1"/>
  <c r="G12" s="1"/>
  <c r="C5"/>
  <c r="O8" s="1"/>
  <c r="P8" s="1"/>
  <c r="N24" i="14"/>
  <c r="N22"/>
  <c r="N17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R37" s="1"/>
  <c r="D5"/>
  <c r="G17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C5"/>
  <c r="O9" s="1"/>
  <c r="P9" s="1"/>
  <c r="J4"/>
  <c r="K4" s="1"/>
  <c r="N21" i="12"/>
  <c r="N19"/>
  <c r="P18"/>
  <c r="O18"/>
  <c r="N18"/>
  <c r="N20" s="1"/>
  <c r="B17"/>
  <c r="C15"/>
  <c r="D14"/>
  <c r="C14" s="1"/>
  <c r="O19" s="1"/>
  <c r="C13"/>
  <c r="T12"/>
  <c r="R12"/>
  <c r="C12"/>
  <c r="T11"/>
  <c r="R11"/>
  <c r="C11"/>
  <c r="T10"/>
  <c r="R10"/>
  <c r="C10"/>
  <c r="O21" s="1"/>
  <c r="P21" s="1"/>
  <c r="T9"/>
  <c r="R9"/>
  <c r="O9"/>
  <c r="C9"/>
  <c r="U8"/>
  <c r="T8"/>
  <c r="S8" s="1"/>
  <c r="R8"/>
  <c r="O8"/>
  <c r="C8"/>
  <c r="T7"/>
  <c r="V7" s="1"/>
  <c r="R7"/>
  <c r="N9" s="1"/>
  <c r="P7"/>
  <c r="O7" s="1"/>
  <c r="N7"/>
  <c r="C7"/>
  <c r="T6"/>
  <c r="S6" s="1"/>
  <c r="R6"/>
  <c r="O6"/>
  <c r="P6" s="1"/>
  <c r="N6"/>
  <c r="E6"/>
  <c r="D6"/>
  <c r="T5"/>
  <c r="R5"/>
  <c r="R17" s="1"/>
  <c r="C5"/>
  <c r="J4"/>
  <c r="N3"/>
  <c r="B14" i="11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0"/>
  <c r="D12"/>
  <c r="C12"/>
  <c r="C11"/>
  <c r="C10"/>
  <c r="C9"/>
  <c r="C8"/>
  <c r="T7"/>
  <c r="R7"/>
  <c r="N8" s="1"/>
  <c r="C7"/>
  <c r="T6"/>
  <c r="S6"/>
  <c r="R6"/>
  <c r="N6"/>
  <c r="E6"/>
  <c r="D6"/>
  <c r="D14" s="1"/>
  <c r="G13" s="1"/>
  <c r="T5"/>
  <c r="T14" s="1"/>
  <c r="R5"/>
  <c r="R14" s="1"/>
  <c r="C5"/>
  <c r="O7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C10"/>
  <c r="T9"/>
  <c r="R9"/>
  <c r="N9"/>
  <c r="C9"/>
  <c r="T8"/>
  <c r="R8"/>
  <c r="N8"/>
  <c r="C8"/>
  <c r="T7"/>
  <c r="S7" s="1"/>
  <c r="O7" s="1"/>
  <c r="R7"/>
  <c r="C7"/>
  <c r="O9" s="1"/>
  <c r="P9" s="1"/>
  <c r="R6"/>
  <c r="U6" s="1"/>
  <c r="P6"/>
  <c r="N6"/>
  <c r="N7" s="1"/>
  <c r="E6"/>
  <c r="D6"/>
  <c r="T6" s="1"/>
  <c r="T5"/>
  <c r="S5"/>
  <c r="R5"/>
  <c r="R13" s="1"/>
  <c r="C5"/>
  <c r="J4"/>
  <c r="C6" i="7"/>
  <c r="E6" s="1"/>
  <c r="C5"/>
  <c r="E5" s="1"/>
  <c r="C4" i="6"/>
  <c r="C77" i="5"/>
  <c r="E74"/>
  <c r="E73"/>
  <c r="E72"/>
  <c r="E71"/>
  <c r="E70"/>
  <c r="E69"/>
  <c r="E68"/>
  <c r="E67"/>
  <c r="E66"/>
  <c r="E65"/>
  <c r="E64"/>
  <c r="D63"/>
  <c r="D77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L39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3" i="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M68" i="2"/>
  <c r="M67"/>
  <c r="M66"/>
  <c r="N65"/>
  <c r="O65" s="1"/>
  <c r="M65"/>
  <c r="M60"/>
  <c r="M59"/>
  <c r="N57"/>
  <c r="M52"/>
  <c r="M51"/>
  <c r="N49"/>
  <c r="O49" s="1"/>
  <c r="M49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B30"/>
  <c r="D29"/>
  <c r="M28"/>
  <c r="D28"/>
  <c r="M27"/>
  <c r="D27"/>
  <c r="M26"/>
  <c r="D26"/>
  <c r="C26"/>
  <c r="N25"/>
  <c r="O25" s="1"/>
  <c r="M25"/>
  <c r="C25"/>
  <c r="N67" s="1"/>
  <c r="O67" s="1"/>
  <c r="T24"/>
  <c r="S24"/>
  <c r="N76" s="1"/>
  <c r="R24"/>
  <c r="C24"/>
  <c r="T23"/>
  <c r="R23"/>
  <c r="C23"/>
  <c r="C22"/>
  <c r="N44" s="1"/>
  <c r="O44" s="1"/>
  <c r="R21"/>
  <c r="C21"/>
  <c r="M20"/>
  <c r="C20"/>
  <c r="N34" s="1"/>
  <c r="O34" s="1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R15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N9"/>
  <c r="M9"/>
  <c r="O9" s="1"/>
  <c r="C9"/>
  <c r="S8"/>
  <c r="R8"/>
  <c r="C8"/>
  <c r="S7"/>
  <c r="R7"/>
  <c r="C7"/>
  <c r="T6"/>
  <c r="R6"/>
  <c r="E6"/>
  <c r="D6"/>
  <c r="T5"/>
  <c r="R5"/>
  <c r="D5"/>
  <c r="C40" i="1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2" s="1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J12" l="1"/>
  <c r="J13" s="1"/>
  <c r="J4"/>
  <c r="R22"/>
  <c r="D39"/>
  <c r="T22"/>
  <c r="T18"/>
  <c r="R18"/>
  <c r="N10"/>
  <c r="P10"/>
  <c r="O14" i="2"/>
  <c r="O37" i="1"/>
  <c r="P37" s="1"/>
  <c r="O36"/>
  <c r="O35"/>
  <c r="O34"/>
  <c r="O29"/>
  <c r="P29" s="1"/>
  <c r="O28"/>
  <c r="O27"/>
  <c r="O26"/>
  <c r="N4" i="2"/>
  <c r="O17"/>
  <c r="O22" s="1"/>
  <c r="M76"/>
  <c r="O76" s="1"/>
  <c r="M74"/>
  <c r="L40" i="5"/>
  <c r="M40" s="1"/>
  <c r="M39"/>
  <c r="O3" i="1"/>
  <c r="T5"/>
  <c r="N6"/>
  <c r="R19"/>
  <c r="N19" s="1"/>
  <c r="T19"/>
  <c r="S19" s="1"/>
  <c r="R21"/>
  <c r="N34"/>
  <c r="N35"/>
  <c r="N36"/>
  <c r="D38"/>
  <c r="T21" s="1"/>
  <c r="T15" i="2"/>
  <c r="S15" s="1"/>
  <c r="N26"/>
  <c r="O26" s="1"/>
  <c r="O30" s="1"/>
  <c r="N27"/>
  <c r="O27" s="1"/>
  <c r="D30"/>
  <c r="T21" s="1"/>
  <c r="S21" s="1"/>
  <c r="B31"/>
  <c r="N35"/>
  <c r="O35" s="1"/>
  <c r="O38" s="1"/>
  <c r="N36"/>
  <c r="O36" s="1"/>
  <c r="N43"/>
  <c r="O43" s="1"/>
  <c r="O46" s="1"/>
  <c r="N50"/>
  <c r="O50" s="1"/>
  <c r="O54" s="1"/>
  <c r="N52"/>
  <c r="O52" s="1"/>
  <c r="N66"/>
  <c r="O66" s="1"/>
  <c r="O70" s="1"/>
  <c r="N68"/>
  <c r="O68" s="1"/>
  <c r="M75"/>
  <c r="K4" i="4"/>
  <c r="J14" i="5"/>
  <c r="I35"/>
  <c r="K35" s="1"/>
  <c r="E9" i="7"/>
  <c r="T13" i="8"/>
  <c r="P7"/>
  <c r="P11" s="1"/>
  <c r="N75" i="2"/>
  <c r="O75" s="1"/>
  <c r="N73"/>
  <c r="E233" i="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H37" i="5"/>
  <c r="H38"/>
  <c r="N26" i="1"/>
  <c r="N27"/>
  <c r="N28"/>
  <c r="M73" i="2"/>
  <c r="N74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I37" i="5"/>
  <c r="K37" s="1"/>
  <c r="I38"/>
  <c r="K38" s="1"/>
  <c r="T8" i="16"/>
  <c r="S8" s="1"/>
  <c r="C8"/>
  <c r="G9" i="19"/>
  <c r="K4"/>
  <c r="O26" i="28"/>
  <c r="P26" s="1"/>
  <c r="O24"/>
  <c r="P24" s="1"/>
  <c r="O3"/>
  <c r="P23"/>
  <c r="P28" s="1"/>
  <c r="K4" i="29"/>
  <c r="G12"/>
  <c r="Q9"/>
  <c r="Q8"/>
  <c r="Q7"/>
  <c r="P6" i="4"/>
  <c r="G8"/>
  <c r="M38" i="5"/>
  <c r="M47" s="1"/>
  <c r="E63"/>
  <c r="O6" i="8"/>
  <c r="O8"/>
  <c r="P8" s="1"/>
  <c r="D13"/>
  <c r="G12" s="1"/>
  <c r="K4" i="10"/>
  <c r="N9"/>
  <c r="O3" i="12"/>
  <c r="P3" s="1"/>
  <c r="P9" i="15"/>
  <c r="T13" i="16"/>
  <c r="K4" i="17"/>
  <c r="P9"/>
  <c r="K4" i="20"/>
  <c r="O9" i="9"/>
  <c r="P9" s="1"/>
  <c r="O8"/>
  <c r="P8" s="1"/>
  <c r="O7"/>
  <c r="P7" s="1"/>
  <c r="P12" s="1"/>
  <c r="O9" i="10"/>
  <c r="P9" s="1"/>
  <c r="O8"/>
  <c r="P8" s="1"/>
  <c r="O6"/>
  <c r="P6" s="1"/>
  <c r="P7" i="20"/>
  <c r="N3"/>
  <c r="O7" i="24"/>
  <c r="O8"/>
  <c r="P8" s="1"/>
  <c r="O6"/>
  <c r="P6" s="1"/>
  <c r="T5" i="28"/>
  <c r="T6" i="9"/>
  <c r="T17" s="1"/>
  <c r="U7" i="10"/>
  <c r="P9" i="12"/>
  <c r="N9" i="20"/>
  <c r="P9" s="1"/>
  <c r="K4" i="24"/>
  <c r="U5" i="12"/>
  <c r="D17"/>
  <c r="T17"/>
  <c r="P19"/>
  <c r="P23" s="1"/>
  <c r="O20"/>
  <c r="P20" s="1"/>
  <c r="O7" i="13"/>
  <c r="O8"/>
  <c r="R15"/>
  <c r="O14" i="14"/>
  <c r="O15"/>
  <c r="P15" s="1"/>
  <c r="D17"/>
  <c r="K4" s="1"/>
  <c r="O7" i="16"/>
  <c r="B14"/>
  <c r="O6" i="18"/>
  <c r="O8"/>
  <c r="O9"/>
  <c r="P9" s="1"/>
  <c r="T6" i="20"/>
  <c r="S6" s="1"/>
  <c r="O8"/>
  <c r="C9"/>
  <c r="O6" i="21"/>
  <c r="P6" s="1"/>
  <c r="T6"/>
  <c r="S6" s="1"/>
  <c r="N7"/>
  <c r="O8"/>
  <c r="P8" s="1"/>
  <c r="N9"/>
  <c r="P9" s="1"/>
  <c r="C7" i="22"/>
  <c r="T5" i="23"/>
  <c r="T39" s="1"/>
  <c r="C9"/>
  <c r="O6" s="1"/>
  <c r="P6" s="1"/>
  <c r="R24"/>
  <c r="R39" s="1"/>
  <c r="C32"/>
  <c r="B39"/>
  <c r="G39" s="1"/>
  <c r="N7" i="24"/>
  <c r="O14"/>
  <c r="P14" s="1"/>
  <c r="O16"/>
  <c r="P16" s="1"/>
  <c r="O17"/>
  <c r="P17" s="1"/>
  <c r="N6" i="25"/>
  <c r="O7"/>
  <c r="P7" s="1"/>
  <c r="N8"/>
  <c r="N7" i="26"/>
  <c r="N8"/>
  <c r="C9"/>
  <c r="T9"/>
  <c r="V9" s="1"/>
  <c r="O14"/>
  <c r="O3" s="1"/>
  <c r="O15"/>
  <c r="O16"/>
  <c r="O7" i="27"/>
  <c r="P7" s="1"/>
  <c r="O9"/>
  <c r="P9" s="1"/>
  <c r="D5" i="28"/>
  <c r="D43" s="1"/>
  <c r="N9"/>
  <c r="P9" s="1"/>
  <c r="P11" s="1"/>
  <c r="T26"/>
  <c r="R27"/>
  <c r="R43" s="1"/>
  <c r="N39"/>
  <c r="B43"/>
  <c r="J4" s="1"/>
  <c r="K4" s="1"/>
  <c r="O6" i="29"/>
  <c r="P6" s="1"/>
  <c r="O7"/>
  <c r="P7" s="1"/>
  <c r="O8"/>
  <c r="P8" s="1"/>
  <c r="O7" i="30"/>
  <c r="P7" s="1"/>
  <c r="T5" i="31"/>
  <c r="O9"/>
  <c r="P9" s="1"/>
  <c r="S5" i="32"/>
  <c r="T5" s="1"/>
  <c r="T33" s="1"/>
  <c r="W33" s="1"/>
  <c r="O6"/>
  <c r="O8"/>
  <c r="P8" s="1"/>
  <c r="N9"/>
  <c r="P9" s="1"/>
  <c r="R33"/>
  <c r="O7" i="33"/>
  <c r="P7" s="1"/>
  <c r="O6" i="34"/>
  <c r="P6" s="1"/>
  <c r="O8"/>
  <c r="P8" s="1"/>
  <c r="O9"/>
  <c r="P9" s="1"/>
  <c r="U5" i="10"/>
  <c r="N7"/>
  <c r="P7" s="1"/>
  <c r="O6" i="11"/>
  <c r="P6" s="1"/>
  <c r="P12" s="1"/>
  <c r="N8" i="12"/>
  <c r="P8" s="1"/>
  <c r="P11" s="1"/>
  <c r="N6" i="13"/>
  <c r="P6" s="1"/>
  <c r="N7"/>
  <c r="N8"/>
  <c r="T5" i="14"/>
  <c r="O7"/>
  <c r="P7" s="1"/>
  <c r="P11" s="1"/>
  <c r="O8"/>
  <c r="P8" s="1"/>
  <c r="T9"/>
  <c r="N14"/>
  <c r="O16"/>
  <c r="P16" s="1"/>
  <c r="N23"/>
  <c r="N25"/>
  <c r="J4" i="15"/>
  <c r="K4" s="1"/>
  <c r="O6"/>
  <c r="P6" s="1"/>
  <c r="N7"/>
  <c r="P7" s="1"/>
  <c r="O8" i="16"/>
  <c r="N7" i="17"/>
  <c r="P7" s="1"/>
  <c r="P11" s="1"/>
  <c r="N6" i="18"/>
  <c r="N8"/>
  <c r="O6" i="19"/>
  <c r="P6" s="1"/>
  <c r="O8"/>
  <c r="P8" s="1"/>
  <c r="O7" i="21"/>
  <c r="P7" s="1"/>
  <c r="T6" i="24"/>
  <c r="T17" s="1"/>
  <c r="O6" i="25"/>
  <c r="P6" s="1"/>
  <c r="O8"/>
  <c r="P8" s="1"/>
  <c r="O7" i="26"/>
  <c r="P7" s="1"/>
  <c r="O8"/>
  <c r="P8" s="1"/>
  <c r="V8"/>
  <c r="N15"/>
  <c r="N16"/>
  <c r="O6" i="27"/>
  <c r="P6" s="1"/>
  <c r="P11" s="1"/>
  <c r="P16" i="28"/>
  <c r="P19" s="1"/>
  <c r="O6" i="30"/>
  <c r="P6" s="1"/>
  <c r="P11" s="1"/>
  <c r="O8"/>
  <c r="P8" s="1"/>
  <c r="O7" i="31"/>
  <c r="P7" s="1"/>
  <c r="P11" s="1"/>
  <c r="O7" i="32"/>
  <c r="C11"/>
  <c r="O6" i="33"/>
  <c r="P6" s="1"/>
  <c r="O8"/>
  <c r="P8" s="1"/>
  <c r="P6" i="32" l="1"/>
  <c r="P13" s="1"/>
  <c r="N3"/>
  <c r="O3"/>
  <c r="P3" s="1"/>
  <c r="N7" i="16"/>
  <c r="N9"/>
  <c r="P9" s="1"/>
  <c r="N8"/>
  <c r="N6"/>
  <c r="P6" s="1"/>
  <c r="J4"/>
  <c r="K4" s="1"/>
  <c r="P11" i="33"/>
  <c r="P11" i="26"/>
  <c r="P11" i="25"/>
  <c r="P11" i="19"/>
  <c r="P8" i="16"/>
  <c r="P11" i="15"/>
  <c r="N3" i="28"/>
  <c r="P15" i="26"/>
  <c r="P8" i="18"/>
  <c r="P14" i="14"/>
  <c r="P19" s="1"/>
  <c r="P8" i="13"/>
  <c r="O3" i="31"/>
  <c r="P11" i="10"/>
  <c r="T22" i="20"/>
  <c r="P3" i="28"/>
  <c r="O73" i="2"/>
  <c r="O78" s="1"/>
  <c r="K4" i="8"/>
  <c r="T32" i="1"/>
  <c r="P26"/>
  <c r="P31" s="1"/>
  <c r="P28"/>
  <c r="P34"/>
  <c r="P36"/>
  <c r="D37" i="2"/>
  <c r="G36" s="1"/>
  <c r="D42" i="1"/>
  <c r="N11"/>
  <c r="T37" i="14"/>
  <c r="S5"/>
  <c r="S5" i="31"/>
  <c r="T18"/>
  <c r="O9" i="23"/>
  <c r="P9" s="1"/>
  <c r="J4"/>
  <c r="P8" i="20"/>
  <c r="P11" s="1"/>
  <c r="O3"/>
  <c r="P3" s="1"/>
  <c r="G16" i="12"/>
  <c r="K4"/>
  <c r="O3" i="8"/>
  <c r="P3" s="1"/>
  <c r="N3"/>
  <c r="H42" i="5"/>
  <c r="I42" s="1"/>
  <c r="K42" s="1"/>
  <c r="H39"/>
  <c r="M57" i="2"/>
  <c r="O57" s="1"/>
  <c r="D31"/>
  <c r="T22"/>
  <c r="T20"/>
  <c r="R20"/>
  <c r="R22"/>
  <c r="O20" i="1"/>
  <c r="P20" s="1"/>
  <c r="O21"/>
  <c r="P21" s="1"/>
  <c r="O19"/>
  <c r="P19" s="1"/>
  <c r="P23" s="1"/>
  <c r="O6"/>
  <c r="N3" s="1"/>
  <c r="M4" i="2"/>
  <c r="O4" s="1"/>
  <c r="P11" i="34"/>
  <c r="P11" i="29"/>
  <c r="G43" i="28"/>
  <c r="P16" i="26"/>
  <c r="P20" i="24"/>
  <c r="P11" i="21"/>
  <c r="P6" i="18"/>
  <c r="P11" s="1"/>
  <c r="P7" i="16"/>
  <c r="P7" i="13"/>
  <c r="P12" s="1"/>
  <c r="N3" i="26"/>
  <c r="P3" s="1"/>
  <c r="T21" i="21"/>
  <c r="G13" i="16"/>
  <c r="N3" i="31"/>
  <c r="T43" i="28"/>
  <c r="W43" s="1"/>
  <c r="P11" i="24"/>
  <c r="P7"/>
  <c r="T24" i="26"/>
  <c r="K14" i="5"/>
  <c r="P3" i="1"/>
  <c r="P27"/>
  <c r="P35"/>
  <c r="B37" i="2"/>
  <c r="T36"/>
  <c r="R32" i="1"/>
  <c r="S18"/>
  <c r="O13" l="1"/>
  <c r="P13" s="1"/>
  <c r="O12"/>
  <c r="P12" s="1"/>
  <c r="O11"/>
  <c r="P11" s="1"/>
  <c r="P15" s="1"/>
  <c r="M58" i="2"/>
  <c r="R36"/>
  <c r="G41" i="1"/>
  <c r="G7"/>
  <c r="J7" i="2"/>
  <c r="J8" s="1"/>
  <c r="J4"/>
  <c r="K4" s="1"/>
  <c r="H40" i="5"/>
  <c r="I40" s="1"/>
  <c r="K40" s="1"/>
  <c r="I39"/>
  <c r="K39" s="1"/>
  <c r="J13" s="1"/>
  <c r="O24" i="14"/>
  <c r="P24" s="1"/>
  <c r="O22"/>
  <c r="P22" s="1"/>
  <c r="O25"/>
  <c r="P25" s="1"/>
  <c r="O23"/>
  <c r="P23" s="1"/>
  <c r="P39" i="1"/>
  <c r="P12" i="16"/>
  <c r="K4" i="1"/>
  <c r="P6"/>
  <c r="S20" i="2"/>
  <c r="P3" i="31"/>
  <c r="P19" i="26"/>
  <c r="N60" i="2" l="1"/>
  <c r="O60" s="1"/>
  <c r="N58"/>
  <c r="O58" s="1"/>
  <c r="N59"/>
  <c r="O59" s="1"/>
  <c r="O47" i="5"/>
  <c r="P47" s="1"/>
  <c r="J15"/>
  <c r="J16" s="1"/>
  <c r="P27" i="14"/>
  <c r="O62" i="2" l="1"/>
</calcChain>
</file>

<file path=xl/sharedStrings.xml><?xml version="1.0" encoding="utf-8"?>
<sst xmlns="http://schemas.openxmlformats.org/spreadsheetml/2006/main" count="748" uniqueCount="96">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</sst>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1493120"/>
        <c:axId val="71495040"/>
      </c:lineChart>
      <c:dateAx>
        <c:axId val="71493120"/>
        <c:scaling>
          <c:orientation val="minMax"/>
        </c:scaling>
        <c:axPos val="b"/>
        <c:numFmt formatCode="dd/mm/yy;@" sourceLinked="1"/>
        <c:majorTickMark val="none"/>
        <c:tickLblPos val="nextTo"/>
        <c:crossAx val="71495040"/>
        <c:crosses val="autoZero"/>
        <c:lblOffset val="100"/>
      </c:dateAx>
      <c:valAx>
        <c:axId val="7149504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1493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J13" sqref="J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2231.838062429194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1190.9106425378095</v>
      </c>
      <c r="K4" s="4">
        <f>(J4/D42-1)</f>
        <v>-0.18107635434768188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2725.3310785175963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6.3483400000000001E-3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6.3483400000000001E-3</v>
      </c>
      <c r="C12" s="40">
        <v>0</v>
      </c>
      <c r="D12" s="26">
        <f t="shared" si="0"/>
        <v>0</v>
      </c>
      <c r="E12" s="38">
        <f>(B12*J3)</f>
        <v>14.168466845241749</v>
      </c>
      <c r="I12" t="s">
        <v>13</v>
      </c>
      <c r="J12">
        <f>(J11-B42)</f>
        <v>6.6399170000000063E-2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148.19219491970679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0.53360083000000003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1" spans="2:16">
      <c r="F41" t="s">
        <v>9</v>
      </c>
      <c r="G41" s="39">
        <f>D42/B42</f>
        <v>2725.3310785175963</v>
      </c>
    </row>
    <row r="42" spans="2:16">
      <c r="B42">
        <f>(SUM(B5:B41))</f>
        <v>0.53360082999999991</v>
      </c>
      <c r="D42" s="23">
        <f>(SUM(D5:D41))</f>
        <v>1454.2389255217843</v>
      </c>
    </row>
  </sheetData>
  <conditionalFormatting sqref="C5:C7 C11 C18:C25 C27 C29 C31 C33 C35:C37 C40 N6 O11:O13 O19:O21 O26:O29 O34:O37 S5:S7 S10:S15 S18:S20 S23">
    <cfRule type="cellIs" dxfId="253" priority="37" operator="lessThan">
      <formula>$J$3</formula>
    </cfRule>
    <cfRule type="cellIs" dxfId="252" priority="38" operator="greaterThan">
      <formula>$J$3</formula>
    </cfRule>
  </conditionalFormatting>
  <conditionalFormatting sqref="G41">
    <cfRule type="cellIs" dxfId="251" priority="21" operator="lessThan">
      <formula>$J$3</formula>
    </cfRule>
    <cfRule type="cellIs" dxfId="250" priority="22" operator="greaterThan">
      <formula>$J$3</formula>
    </cfRule>
  </conditionalFormatting>
  <conditionalFormatting sqref="O3">
    <cfRule type="cellIs" dxfId="249" priority="9" operator="greaterThan">
      <formula>$J$3</formula>
    </cfRule>
    <cfRule type="cellIs" dxfId="248" priority="10" operator="less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1.6250454246704269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19.833596075773183</v>
      </c>
      <c r="K4" s="4">
        <f>(J4/D14-1)</f>
        <v>-0.46265588605737018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0.57357910000000001</v>
      </c>
      <c r="S5" s="40">
        <v>0</v>
      </c>
      <c r="T5" s="26">
        <f>(D6)</f>
        <v>0</v>
      </c>
      <c r="U5" s="38">
        <f>(R5*J3)</f>
        <v>0.93209209214158129</v>
      </c>
    </row>
    <row r="6" spans="2:21">
      <c r="B6" s="36">
        <v>0.57357910000000001</v>
      </c>
      <c r="C6" s="40">
        <v>0</v>
      </c>
      <c r="D6" s="26">
        <f>(B6*C6)</f>
        <v>0</v>
      </c>
      <c r="E6" s="38">
        <f>(B6*J3)</f>
        <v>0.93209209214158129</v>
      </c>
      <c r="M6" t="s">
        <v>11</v>
      </c>
      <c r="N6" s="29">
        <f>(SUM(R5:R7)/5)</f>
        <v>2.4409897439999999</v>
      </c>
      <c r="O6" s="38">
        <f>($C$5*Params!K8)</f>
        <v>4.170187259859512</v>
      </c>
      <c r="P6" s="38">
        <f>(O6*N6)</f>
        <v>10.17938433187653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2.4409897439999999</v>
      </c>
      <c r="O7" s="38">
        <f>($C$5*Params!K9)</f>
        <v>5.1325381659809377</v>
      </c>
      <c r="P7" s="38">
        <f>(O7*N7)</f>
        <v>12.528473023848038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0.29673991288180679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2.4409897439999999</v>
      </c>
      <c r="O8" s="38">
        <f>($C$5*Params!K10)</f>
        <v>7.0572399782237891</v>
      </c>
      <c r="P8" s="38">
        <f>(O8*N8)</f>
        <v>17.226650407791052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2.4409897439999999</v>
      </c>
      <c r="O9" s="38">
        <f>($C$5*Params!K11)</f>
        <v>12.831345414952343</v>
      </c>
      <c r="P9" s="38">
        <f>(O9*N9)</f>
        <v>31.321182559620095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71.255690323135724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3.0242174102309547</v>
      </c>
    </row>
    <row r="14" spans="2:21">
      <c r="B14" s="29">
        <f>(SUM(B5:B13))</f>
        <v>12.204948720000001</v>
      </c>
      <c r="D14" s="38">
        <f>(SUM(D5:D13))</f>
        <v>36.910418410000005</v>
      </c>
      <c r="R14" s="29">
        <f>(SUM(R5:R13))</f>
        <v>12.204948719999999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6:O9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S6:S7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9.7865103483913796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11.969170697926618</v>
      </c>
      <c r="K4" s="4">
        <f>(J4/D14-1)</f>
        <v>9.5075086727046454E-2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0.86058725905186884</v>
      </c>
      <c r="M6" t="s">
        <v>11</v>
      </c>
      <c r="N6" s="1">
        <f>(SUM($B$5:$B$7)/5)</f>
        <v>0.24460548800000001</v>
      </c>
      <c r="O6" s="38">
        <f>($C$5*Params!K8)</f>
        <v>12.800900900900901</v>
      </c>
      <c r="P6" s="38">
        <f>(O6*N6)</f>
        <v>3.1311706117045048</v>
      </c>
    </row>
    <row r="7" spans="2:16">
      <c r="B7" s="36">
        <v>2.5091370000000002E-2</v>
      </c>
      <c r="C7" s="40">
        <v>0</v>
      </c>
      <c r="D7" s="26">
        <f>(C7*B7)</f>
        <v>0</v>
      </c>
      <c r="E7" s="38">
        <f>(B7*J4)</f>
        <v>0.30032289057483502</v>
      </c>
      <c r="N7" s="1">
        <f>(SUM($B$5:$B$7)/5)</f>
        <v>0.24460548800000001</v>
      </c>
      <c r="O7" s="38">
        <f>($C$5*Params!K9)</f>
        <v>15.754954954954954</v>
      </c>
      <c r="P7" s="38">
        <f>(O7*N7)</f>
        <v>3.8537484451747748</v>
      </c>
    </row>
    <row r="8" spans="2:16">
      <c r="N8" s="1">
        <f>(SUM($B$5:$B$7)/5)</f>
        <v>0.24460548800000001</v>
      </c>
      <c r="O8" s="38">
        <f>($C$5*Params!K10)</f>
        <v>21.663063063063063</v>
      </c>
      <c r="P8" s="38">
        <f>(O8*N8)</f>
        <v>5.2989041121153155</v>
      </c>
    </row>
    <row r="9" spans="2:16">
      <c r="N9" s="1">
        <f>(SUM($B$5:$B$7)/5)</f>
        <v>0.24460548800000001</v>
      </c>
      <c r="O9" s="38">
        <f>($C$5*Params!K11)</f>
        <v>39.387387387387385</v>
      </c>
      <c r="P9" s="38">
        <f>(O9*N9)</f>
        <v>9.634371112936936</v>
      </c>
    </row>
    <row r="12" spans="2:16">
      <c r="P12" s="38">
        <f>(SUM(P6:P9))</f>
        <v>21.91819428193153</v>
      </c>
    </row>
    <row r="13" spans="2:16">
      <c r="F13" t="s">
        <v>9</v>
      </c>
      <c r="G13" s="38">
        <f>(D14/B14)</f>
        <v>8.9368395528394675</v>
      </c>
    </row>
    <row r="14" spans="2:16">
      <c r="B14" s="19">
        <f>(SUM(B5:B13))</f>
        <v>1.2230274400000001</v>
      </c>
      <c r="D14" s="38">
        <f>(SUM(D5:D13))</f>
        <v>10.93</v>
      </c>
    </row>
  </sheetData>
  <conditionalFormatting sqref="C5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O6:O9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3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23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26.314220176441921</v>
      </c>
      <c r="M3" t="s">
        <v>4</v>
      </c>
      <c r="N3" s="24">
        <f>(INDEX(N5:N21,MATCH(MAX(O18:O19,O6:O7),O5:O21,0))/0.9)</f>
        <v>0.55188888888888887</v>
      </c>
      <c r="O3" s="39">
        <f>(MAX(O18:O19,O6:O7)*0.85)</f>
        <v>20.752725579826858</v>
      </c>
      <c r="P3" s="35">
        <f>(O3*N3)</f>
        <v>11.453198661666667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(B17*J3)</f>
        <v>50.490779678341411</v>
      </c>
      <c r="K4" s="4">
        <f>(J4/D17-1)</f>
        <v>1.7910824883217753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1.546084E-2</v>
      </c>
      <c r="S5" s="40">
        <v>0</v>
      </c>
      <c r="T5" s="26">
        <f>(D6)</f>
        <v>0</v>
      </c>
      <c r="U5" s="38">
        <f>(R5*J3)</f>
        <v>0.4068399478727403</v>
      </c>
    </row>
    <row r="6" spans="2:22">
      <c r="B6" s="25">
        <v>1.546084E-2</v>
      </c>
      <c r="C6" s="40">
        <v>0</v>
      </c>
      <c r="D6" s="26">
        <f>(B6*C6)</f>
        <v>0</v>
      </c>
      <c r="E6" s="38">
        <f>(B6*J3)</f>
        <v>0.4068399478727403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Q6" t="s">
        <v>12</v>
      </c>
      <c r="R6" s="24">
        <f>B5+B13+B15</f>
        <v>1.4579438700000003</v>
      </c>
      <c r="S6" s="38">
        <f>(T6/R6)</f>
        <v>15.137659586304924</v>
      </c>
      <c r="T6" s="38">
        <f>D5-(-B13-B15)*15.13</f>
        <v>22.069858000000004</v>
      </c>
      <c r="U6" t="s">
        <v>15</v>
      </c>
    </row>
    <row r="7" spans="2:22">
      <c r="B7" s="24">
        <v>-7.17E-2</v>
      </c>
      <c r="C7" s="38">
        <f t="shared" ref="C7:C15" si="0">(D7/B7)</f>
        <v>15.79</v>
      </c>
      <c r="D7" s="38">
        <v>-1.1321429999999999</v>
      </c>
      <c r="N7" s="24">
        <f>-B15</f>
        <v>0.49669999999999997</v>
      </c>
      <c r="O7" s="38">
        <f>P7/N7</f>
        <v>24.414971270384541</v>
      </c>
      <c r="P7" s="38">
        <f>-D15</f>
        <v>12.126916230000001</v>
      </c>
      <c r="Q7" t="s">
        <v>12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1.0535273641761584</v>
      </c>
    </row>
    <row r="8" spans="2:22">
      <c r="B8">
        <v>-0.114356</v>
      </c>
      <c r="C8" s="38">
        <f t="shared" si="0"/>
        <v>20.563082741613908</v>
      </c>
      <c r="D8" s="38">
        <v>-2.3515118899999998</v>
      </c>
      <c r="N8" s="24">
        <f>3*($B$5+$R$7)/5-N7-N6</f>
        <v>0.49675638000000027</v>
      </c>
      <c r="O8" s="38">
        <f>($C$5*Params!K10)</f>
        <v>33.296022234530483</v>
      </c>
      <c r="P8" s="38">
        <f>(O8*N8)</f>
        <v>16.540011473624883</v>
      </c>
      <c r="R8" s="24">
        <f>(B10)+B12+B14</f>
        <v>0.41306226000000001</v>
      </c>
      <c r="S8" s="38">
        <f>(T8/R8)</f>
        <v>14.312382351270724</v>
      </c>
      <c r="T8" s="38">
        <f>(D10)-(-B12-B14)*14.31</f>
        <v>5.9119049999999991</v>
      </c>
      <c r="U8" t="str">
        <f>E10</f>
        <v>DCA4</v>
      </c>
    </row>
    <row r="9" spans="2:22">
      <c r="B9" s="24">
        <v>0.12727869999999999</v>
      </c>
      <c r="C9" s="38">
        <f t="shared" si="0"/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  <c r="R9" s="24">
        <f>B12-B12</f>
        <v>0</v>
      </c>
      <c r="S9" s="39">
        <v>0</v>
      </c>
      <c r="T9" s="39">
        <f>D12-B12*14.31</f>
        <v>-0.58156317999999962</v>
      </c>
    </row>
    <row r="10" spans="2:22">
      <c r="B10" s="24">
        <v>0.68756225999999998</v>
      </c>
      <c r="C10" s="38">
        <f t="shared" si="0"/>
        <v>14.311431229515128</v>
      </c>
      <c r="D10" s="38">
        <v>9.84</v>
      </c>
      <c r="E10" t="s">
        <v>81</v>
      </c>
      <c r="R10" s="24">
        <f>B13-B13</f>
        <v>0</v>
      </c>
      <c r="S10" s="39">
        <v>0</v>
      </c>
      <c r="T10" s="39">
        <f>D13-B13*15.13</f>
        <v>-3.3300066700000004</v>
      </c>
    </row>
    <row r="11" spans="2:22">
      <c r="B11" s="24">
        <v>9.1074379999999996E-2</v>
      </c>
      <c r="C11" s="38">
        <f t="shared" si="0"/>
        <v>11.638838496622212</v>
      </c>
      <c r="D11" s="38">
        <v>1.06</v>
      </c>
      <c r="P11" s="38">
        <f>(SUM(P6:P9))</f>
        <v>68.511057772451181</v>
      </c>
      <c r="R11" s="24">
        <f>B14-B14</f>
        <v>0</v>
      </c>
      <c r="S11" s="39">
        <v>0</v>
      </c>
      <c r="T11" s="39">
        <f>D14-B14*14.31</f>
        <v>-1.1646581099999997</v>
      </c>
    </row>
    <row r="12" spans="2:22">
      <c r="B12" s="24">
        <v>-0.13750000000000001</v>
      </c>
      <c r="C12" s="38">
        <f t="shared" si="0"/>
        <v>18.539550399999996</v>
      </c>
      <c r="D12" s="38">
        <v>-2.5491881799999998</v>
      </c>
      <c r="P12" s="38"/>
      <c r="R12" s="24">
        <f>B15-B15</f>
        <v>0</v>
      </c>
      <c r="S12" s="39">
        <v>0</v>
      </c>
      <c r="T12" s="39">
        <f>D15-B15*15.13</f>
        <v>-4.611845230000001</v>
      </c>
    </row>
    <row r="13" spans="2:22">
      <c r="B13" s="24">
        <v>-0.49669999999999997</v>
      </c>
      <c r="C13" s="38">
        <f t="shared" si="0"/>
        <v>21.834261465673446</v>
      </c>
      <c r="D13" s="38">
        <v>-10.84507767</v>
      </c>
      <c r="P13" s="38"/>
    </row>
    <row r="14" spans="2:22">
      <c r="B14" s="24">
        <v>-0.13700000000000001</v>
      </c>
      <c r="C14" s="38">
        <f t="shared" si="0"/>
        <v>22.811154087591238</v>
      </c>
      <c r="D14" s="38">
        <f>-3.12512811</f>
        <v>-3.1251281099999999</v>
      </c>
      <c r="P14" s="38"/>
    </row>
    <row r="15" spans="2:22">
      <c r="B15" s="24">
        <v>-0.49669999999999997</v>
      </c>
      <c r="C15" s="38">
        <f t="shared" si="0"/>
        <v>24.414971270384541</v>
      </c>
      <c r="D15" s="38">
        <v>-12.126916230000001</v>
      </c>
      <c r="P15" s="38"/>
    </row>
    <row r="16" spans="2:22">
      <c r="F16" t="s">
        <v>9</v>
      </c>
      <c r="G16" s="38">
        <f>(D17/B17)</f>
        <v>9.4279621926416652</v>
      </c>
    </row>
    <row r="17" spans="2:20">
      <c r="B17" s="24">
        <f>(SUM(B5:B16))</f>
        <v>1.9187640499999998</v>
      </c>
      <c r="D17" s="38">
        <f>(SUM(D5:D16))</f>
        <v>18.090034920000001</v>
      </c>
      <c r="M17" t="s">
        <v>81</v>
      </c>
      <c r="N17" t="s">
        <v>29</v>
      </c>
      <c r="O17" t="s">
        <v>1</v>
      </c>
      <c r="P17" t="s">
        <v>2</v>
      </c>
      <c r="R17" s="24">
        <f>(SUM(R5:R16))</f>
        <v>1.9187640500000003</v>
      </c>
      <c r="T17" s="38">
        <f>(SUM(T5:T16))</f>
        <v>18.090034920000004</v>
      </c>
    </row>
    <row r="18" spans="2:20">
      <c r="M18" t="s">
        <v>11</v>
      </c>
      <c r="N18" s="24">
        <f>-B12</f>
        <v>0.13750000000000001</v>
      </c>
      <c r="O18" s="38">
        <f>18.6</f>
        <v>18.600000000000001</v>
      </c>
      <c r="P18" s="38">
        <f>-D12</f>
        <v>2.5491881799999998</v>
      </c>
      <c r="Q18" t="s">
        <v>12</v>
      </c>
    </row>
    <row r="19" spans="2:20">
      <c r="N19" s="24">
        <f>-B14</f>
        <v>0.13700000000000001</v>
      </c>
      <c r="O19" s="38">
        <f>C14</f>
        <v>22.811154087591238</v>
      </c>
      <c r="P19" s="38">
        <f>-D14</f>
        <v>3.1251281099999999</v>
      </c>
      <c r="Q19" t="s">
        <v>12</v>
      </c>
    </row>
    <row r="20" spans="2:20">
      <c r="N20" s="24">
        <f>3*($B$10)/5-N18-N19</f>
        <v>0.13803735599999994</v>
      </c>
      <c r="O20" s="38">
        <f>($C$10*Params!K10)</f>
        <v>31.485148704933284</v>
      </c>
      <c r="P20" s="38">
        <f>(O20*N20)</f>
        <v>4.3461266804958125</v>
      </c>
    </row>
    <row r="21" spans="2:20">
      <c r="N21" s="24">
        <f>($B$10)/5</f>
        <v>0.13751245200000001</v>
      </c>
      <c r="O21" s="38">
        <f>($C$10*Params!K11)</f>
        <v>57.24572491806051</v>
      </c>
      <c r="P21" s="38">
        <f>(O21*N21)</f>
        <v>7.8719999999999999</v>
      </c>
    </row>
    <row r="23" spans="2:20">
      <c r="P23" s="38">
        <f>(SUM(P18:P21))</f>
        <v>17.892442970495814</v>
      </c>
    </row>
  </sheetData>
  <conditionalFormatting sqref="C5 C9:C11 G16 O8:O9 O20:O21 S6">
    <cfRule type="cellIs" dxfId="171" priority="19" operator="lessThan">
      <formula>$J$3</formula>
    </cfRule>
    <cfRule type="cellIs" dxfId="170" priority="20" operator="greaterThan">
      <formula>$J$3</formula>
    </cfRule>
  </conditionalFormatting>
  <conditionalFormatting sqref="S8"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3">
    <cfRule type="cellIs" dxfId="167" priority="1" operator="greaterThan">
      <formula>$J$3</formula>
    </cfRule>
    <cfRule type="cellIs" dxfId="16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K15" sqref="K15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3.4654276855679389E-3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3.3104753792330426</v>
      </c>
      <c r="K4" s="4">
        <f>(J4/D13-1)</f>
        <v>0.16888671909296193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39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48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48">
        <v>0</v>
      </c>
      <c r="T6" s="39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38">
        <v>-0.893567</v>
      </c>
      <c r="N7" s="19">
        <f>(($B$5+$R$6)/5)</f>
        <v>191.05724773999998</v>
      </c>
      <c r="O7" s="48">
        <f>($C$5*Params!K9)</f>
        <v>5.4320149380410803E-3</v>
      </c>
      <c r="P7" s="38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38">
        <v>-1.213721</v>
      </c>
      <c r="N8" s="19">
        <f>(($B$5+$R$6)/5)</f>
        <v>191.05724773999998</v>
      </c>
      <c r="O8" s="48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38">
        <v>1.1300110000000001</v>
      </c>
      <c r="N9" s="19">
        <f>(($B$5+$R$6)/5)</f>
        <v>191.05724773999998</v>
      </c>
      <c r="O9" s="48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48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38">
        <v>0.737757</v>
      </c>
    </row>
    <row r="12" spans="2:20">
      <c r="F12" t="s">
        <v>9</v>
      </c>
      <c r="G12" s="48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65" priority="17" operator="lessThan">
      <formula>$J$3</formula>
    </cfRule>
    <cfRule type="cellIs" dxfId="164" priority="18" operator="greaterThan">
      <formula>$J$3</formula>
    </cfRule>
  </conditionalFormatting>
  <conditionalFormatting sqref="C9:C11">
    <cfRule type="cellIs" dxfId="163" priority="15" operator="lessThan">
      <formula>$J$3</formula>
    </cfRule>
    <cfRule type="cellIs" dxfId="162" priority="16" operator="greaterThan">
      <formula>$J$3</formula>
    </cfRule>
    <cfRule type="cellIs" dxfId="161" priority="13" operator="lessThan">
      <formula>$J$3</formula>
    </cfRule>
    <cfRule type="cellIs" dxfId="160" priority="14" operator="greaterThan">
      <formula>$J$3</formula>
    </cfRule>
  </conditionalFormatting>
  <conditionalFormatting sqref="O6:O9">
    <cfRule type="cellIs" dxfId="159" priority="11" operator="lessThan">
      <formula>$J$3</formula>
    </cfRule>
    <cfRule type="cellIs" dxfId="158" priority="12" operator="greaterThan">
      <formula>$J$3</formula>
    </cfRule>
    <cfRule type="cellIs" dxfId="157" priority="9" operator="lessThan">
      <formula>$J$3</formula>
    </cfRule>
    <cfRule type="cellIs" dxfId="156" priority="10" operator="greaterThan">
      <formula>$J$3</formula>
    </cfRule>
  </conditionalFormatting>
  <conditionalFormatting sqref="S5">
    <cfRule type="cellIs" dxfId="155" priority="7" operator="lessThan">
      <formula>$J$3</formula>
    </cfRule>
    <cfRule type="cellIs" dxfId="154" priority="8" operator="greaterThan">
      <formula>$J$3</formula>
    </cfRule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12">
    <cfRule type="cellIs" dxfId="151" priority="3" operator="lessThan">
      <formula>$J$3</formula>
    </cfRule>
    <cfRule type="cellIs" dxfId="150" priority="4" operator="greaterThan">
      <formula>$J$3</formula>
    </cfRule>
    <cfRule type="cellIs" dxfId="149" priority="1" operator="lessThan">
      <formula>$J$3</formula>
    </cfRule>
    <cfRule type="cellIs" dxfId="148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K24" sqref="K2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229.9574272683401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157.53027973077658</v>
      </c>
      <c r="K4" s="4">
        <f>(J4/D17-1)</f>
        <v>-0.1801778472797283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49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49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49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49">
        <v>2.3499999999999999E-4</v>
      </c>
      <c r="C7" s="38">
        <v>0</v>
      </c>
      <c r="D7" s="38">
        <v>0</v>
      </c>
      <c r="E7" s="38">
        <f>(B7*J3)</f>
        <v>5.403999540805992E-2</v>
      </c>
      <c r="I7" t="s">
        <v>11</v>
      </c>
      <c r="J7">
        <v>1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49">
        <f>(B7+B8+B10)</f>
        <v>2.4918399999999999E-3</v>
      </c>
      <c r="S7" s="38">
        <f>(C7)</f>
        <v>0</v>
      </c>
      <c r="T7" s="38">
        <f>(R7*S7)</f>
        <v>0</v>
      </c>
    </row>
    <row r="8" spans="2:21">
      <c r="B8" s="49">
        <v>9.4980000000000002E-5</v>
      </c>
      <c r="C8" s="38">
        <v>0</v>
      </c>
      <c r="D8" s="38">
        <v>0</v>
      </c>
      <c r="E8" s="38">
        <f>(B8*J3)</f>
        <v>2.1841356441946944E-2</v>
      </c>
      <c r="I8" t="s">
        <v>13</v>
      </c>
      <c r="J8" s="49">
        <f>(J7-B17)</f>
        <v>0.31495894000000013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49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49">
        <v>9.0920000000000004E-5</v>
      </c>
      <c r="C9" s="38">
        <v>276</v>
      </c>
      <c r="D9" s="38">
        <f>(B9*C9)</f>
        <v>2.5093920000000002E-2</v>
      </c>
      <c r="E9" s="38"/>
      <c r="I9" t="s">
        <v>14</v>
      </c>
      <c r="J9" s="41">
        <f>(J8*J3)</f>
        <v>72.427147537563528</v>
      </c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49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0">
        <v>2.1618599999999998E-3</v>
      </c>
      <c r="C10" s="40">
        <v>0</v>
      </c>
      <c r="D10" s="26">
        <v>0</v>
      </c>
      <c r="E10" s="38">
        <f>(B10*J3)</f>
        <v>0.49713576371433366</v>
      </c>
      <c r="P10" s="38"/>
      <c r="R10" s="49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49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49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49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49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49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49">
        <f>(SUM(B5:B16))</f>
        <v>0.68504105999999987</v>
      </c>
      <c r="D17" s="38">
        <f>(SUM(D5:D16))</f>
        <v>192.15177244</v>
      </c>
      <c r="F17" t="s">
        <v>9</v>
      </c>
      <c r="G17" s="38">
        <f>(SUM(D5:D16)/SUM(B5:B16))</f>
        <v>280.49672298475076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9.6191599999999994E-4</v>
      </c>
      <c r="O22" s="38">
        <f>($S$5*Params!K8)</f>
        <v>323.96134165178148</v>
      </c>
      <c r="P22" s="38">
        <f>(O22*N22)</f>
        <v>0.311623597916315</v>
      </c>
    </row>
    <row r="23" spans="2:16">
      <c r="N23" s="24">
        <f>(($R$5+$R$7)/5)</f>
        <v>9.6191599999999994E-4</v>
      </c>
      <c r="O23" s="38">
        <f>($S$5*Params!K9)</f>
        <v>398.72165126373102</v>
      </c>
      <c r="P23" s="38">
        <f>(O23*N23)</f>
        <v>0.38353673589700304</v>
      </c>
    </row>
    <row r="24" spans="2:16">
      <c r="N24" s="24">
        <f>(($R$5+$R$7)/5)</f>
        <v>9.6191599999999994E-4</v>
      </c>
      <c r="O24" s="38">
        <f>($S$5*Params!K10)</f>
        <v>548.24227048763021</v>
      </c>
      <c r="P24" s="38">
        <f>(O24*N24)</f>
        <v>0.5273630118583793</v>
      </c>
    </row>
    <row r="25" spans="2:16">
      <c r="N25" s="24">
        <f>(($R$5+$R$7)/5)</f>
        <v>9.6191599999999994E-4</v>
      </c>
      <c r="O25" s="38">
        <f>($S$5*Params!K11)</f>
        <v>996.80412815932755</v>
      </c>
      <c r="P25" s="38">
        <f>(O25*N25)</f>
        <v>0.9588418397425077</v>
      </c>
    </row>
    <row r="26" spans="2:16">
      <c r="P26" s="38"/>
    </row>
    <row r="27" spans="2:16">
      <c r="P27" s="38">
        <f>(SUM(P22:P25))</f>
        <v>2.1813651854142049</v>
      </c>
    </row>
    <row r="37" spans="18:20">
      <c r="R37" s="49">
        <f>(SUM(R5:R27))</f>
        <v>0.68504106000000009</v>
      </c>
      <c r="T37" s="38">
        <f>(SUM(T5:T27))</f>
        <v>192.15177244</v>
      </c>
    </row>
  </sheetData>
  <conditionalFormatting sqref="C5:C6 C9 C11:C14 O6:O9 O14 S5:S6 S8:S9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15:O17">
    <cfRule type="cellIs" dxfId="145" priority="7" operator="lessThan">
      <formula>$J$3</formula>
    </cfRule>
    <cfRule type="cellIs" dxfId="144" priority="8" operator="greaterThan">
      <formula>$J$3</formula>
    </cfRule>
  </conditionalFormatting>
  <conditionalFormatting sqref="O22:O2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G17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9.5097791861937467E-2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5.8381295082751175</v>
      </c>
      <c r="K4" s="4">
        <f>(J4/D13-1)</f>
        <v>0.16762590165502345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0.27168147999999998</v>
      </c>
      <c r="C6" s="40">
        <v>0</v>
      </c>
      <c r="D6" s="26">
        <f>(B6*C6)</f>
        <v>0</v>
      </c>
      <c r="E6" s="38">
        <f>(B6*J3)</f>
        <v>2.5836308837783123E-2</v>
      </c>
      <c r="M6" t="s">
        <v>11</v>
      </c>
      <c r="N6" s="29">
        <f>($B$13/5)</f>
        <v>12.278159973999999</v>
      </c>
      <c r="O6" s="38">
        <f>($C$5*Params!K8)</f>
        <v>0.10634970155367125</v>
      </c>
      <c r="P6" s="38">
        <f>(O6*N6)</f>
        <v>1.305778648863132</v>
      </c>
    </row>
    <row r="7" spans="2:16">
      <c r="N7" s="29">
        <f>($B$13/5)</f>
        <v>12.278159973999999</v>
      </c>
      <c r="O7" s="38">
        <f>($C$5*Params!K9)</f>
        <v>0.13089194037374924</v>
      </c>
      <c r="P7" s="38">
        <f>(O7*N7)</f>
        <v>1.6071121832161623</v>
      </c>
    </row>
    <row r="8" spans="2:16">
      <c r="N8" s="29">
        <f>($B$13/5)</f>
        <v>12.278159973999999</v>
      </c>
      <c r="O8" s="38">
        <f>($C$5*Params!K10)</f>
        <v>0.17997641801390521</v>
      </c>
      <c r="P8" s="38">
        <f>(O8*N8)</f>
        <v>2.2097792519222232</v>
      </c>
    </row>
    <row r="9" spans="2:16">
      <c r="N9" s="29">
        <f>($B$13/5)</f>
        <v>12.278159973999999</v>
      </c>
      <c r="O9" s="38">
        <f>($C$5*Params!K11)</f>
        <v>0.32722985093437307</v>
      </c>
      <c r="P9" s="38">
        <f>(O9*N9)</f>
        <v>4.0177804580404057</v>
      </c>
    </row>
    <row r="11" spans="2:16">
      <c r="P11" s="38">
        <f>(SUM(P6:P9))</f>
        <v>9.1404505420419238</v>
      </c>
    </row>
    <row r="12" spans="2:16">
      <c r="F12" t="s">
        <v>9</v>
      </c>
      <c r="G12" s="38">
        <f>(D13/B13)</f>
        <v>8.1445428477685683E-2</v>
      </c>
    </row>
    <row r="13" spans="2:16">
      <c r="B13" s="29">
        <f>(SUM(B5:B12))</f>
        <v>61.390799869999995</v>
      </c>
      <c r="D13" s="38">
        <f>(SUM(D5:D12))</f>
        <v>5</v>
      </c>
    </row>
  </sheetData>
  <conditionalFormatting sqref="O6:O9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C5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2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6.0764519864085829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41.714662841422566</v>
      </c>
      <c r="K4" s="4">
        <f>(J4/D14-1)</f>
        <v>0.11553403636623893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7.0062869999999999E-2</v>
      </c>
      <c r="S5" s="40">
        <v>0</v>
      </c>
      <c r="T5" s="26">
        <f>(D6)</f>
        <v>0</v>
      </c>
      <c r="U5">
        <f>(R5*J3)</f>
        <v>0.42573366558498632</v>
      </c>
    </row>
    <row r="6" spans="2:21">
      <c r="B6" s="25">
        <v>7.0062869999999999E-2</v>
      </c>
      <c r="C6" s="40">
        <v>0</v>
      </c>
      <c r="D6" s="26">
        <f>(B6*C6)</f>
        <v>0</v>
      </c>
      <c r="E6" s="38">
        <f>(B6*J3)</f>
        <v>0.42573366558498632</v>
      </c>
      <c r="M6" t="s">
        <v>11</v>
      </c>
      <c r="N6" s="24">
        <f>($B$14/5)</f>
        <v>1.3729940740000002</v>
      </c>
      <c r="O6" s="38">
        <f>($S$6*Params!K8)</f>
        <v>7.1908593398211149</v>
      </c>
      <c r="P6" s="38">
        <f>(O6*N6)</f>
        <v>9.8730072605419448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1.3729940740000002</v>
      </c>
      <c r="O7" s="38">
        <f>($S$6*Params!K9)</f>
        <v>8.850288418241373</v>
      </c>
      <c r="P7" s="38">
        <f>(O7*N7)</f>
        <v>12.151393551436239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1.3729940740000002</v>
      </c>
      <c r="O8" s="38">
        <f>($C$5*Params!K10)</f>
        <v>12.169146575081887</v>
      </c>
      <c r="P8" s="38">
        <f>(O8*N8)</f>
        <v>16.708166133224829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1.3729940740000002</v>
      </c>
      <c r="O9" s="38">
        <f>($C$5*Params!K11)</f>
        <v>22.125721045603431</v>
      </c>
      <c r="P9" s="38">
        <f>(O9*N9)</f>
        <v>30.378483878590597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69.111050823793605</v>
      </c>
    </row>
    <row r="13" spans="2:21">
      <c r="F13" t="s">
        <v>9</v>
      </c>
      <c r="G13" s="38">
        <f>(D14/B14)</f>
        <v>5.4471237885328252</v>
      </c>
      <c r="N13" s="24"/>
      <c r="P13" s="38"/>
      <c r="R13" s="24">
        <f>(SUM(R5:R12))</f>
        <v>6.86497037</v>
      </c>
      <c r="T13" s="38">
        <f>(SUM(T5:T12))</f>
        <v>37.394343410000005</v>
      </c>
    </row>
    <row r="14" spans="2:21">
      <c r="B14">
        <f>(SUM(B5:B13))</f>
        <v>6.8649703700000009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3" priority="15" operator="lessThan">
      <formula>$J$3</formula>
    </cfRule>
    <cfRule type="cellIs" dxfId="13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27" sqref="N2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48.481082523441827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6.0011406253507529</v>
      </c>
      <c r="K4" s="4">
        <f>(J4/D13-1)</f>
        <v>0.1540655048751447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2.9354699999999999E-3</v>
      </c>
      <c r="C6" s="40">
        <v>0</v>
      </c>
      <c r="D6" s="26">
        <f>(B6*C6)</f>
        <v>0</v>
      </c>
      <c r="E6" s="38">
        <f>(B6*J3)</f>
        <v>0.14231476331508777</v>
      </c>
      <c r="M6" t="s">
        <v>11</v>
      </c>
      <c r="N6" s="24">
        <f>($B$13/5)</f>
        <v>2.4756627999999999E-2</v>
      </c>
      <c r="O6" s="38">
        <f>($C$5*Params!K8)</f>
        <v>55.939</v>
      </c>
      <c r="P6" s="38">
        <f>(O6*N6)</f>
        <v>1.3848610136919999</v>
      </c>
    </row>
    <row r="7" spans="2:16">
      <c r="N7" s="24">
        <f>($B$13/5)</f>
        <v>2.4756627999999999E-2</v>
      </c>
      <c r="O7" s="38">
        <f>($C$5*Params!K9)</f>
        <v>68.847999999999999</v>
      </c>
      <c r="P7" s="38">
        <f>(O7*N7)</f>
        <v>1.704444324544</v>
      </c>
    </row>
    <row r="8" spans="2:16">
      <c r="N8" s="24">
        <f>($B$13/5)</f>
        <v>2.4756627999999999E-2</v>
      </c>
      <c r="O8" s="38">
        <f>($C$5*Params!K10)</f>
        <v>94.666000000000011</v>
      </c>
      <c r="P8" s="38">
        <f>(O8*N8)</f>
        <v>2.3436109462480004</v>
      </c>
    </row>
    <row r="9" spans="2:16">
      <c r="N9" s="24">
        <f>($B$13/5)</f>
        <v>2.4756627999999999E-2</v>
      </c>
      <c r="O9" s="38">
        <f>($C$5*Params!K11)</f>
        <v>172.12</v>
      </c>
      <c r="P9" s="38">
        <f>(O9*N9)</f>
        <v>4.26111081136</v>
      </c>
    </row>
    <row r="11" spans="2:16">
      <c r="P11" s="38">
        <f>(SUM(P6:P9))</f>
        <v>9.6940270958439996</v>
      </c>
    </row>
    <row r="12" spans="2:16">
      <c r="F12" t="s">
        <v>9</v>
      </c>
      <c r="G12" s="38">
        <f>(D13/B13)</f>
        <v>42.008952107694149</v>
      </c>
    </row>
    <row r="13" spans="2:16">
      <c r="B13">
        <f>(SUM(B5:B12))</f>
        <v>0.12378314</v>
      </c>
      <c r="D13" s="38">
        <f>(SUM(D5:D12))</f>
        <v>5.2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12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4.8901844693479033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10.819050086010353</v>
      </c>
      <c r="K4" s="4">
        <f>(J4/D10-1)</f>
        <v>6.069118490297587E-2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2.2191699999999999E-3</v>
      </c>
      <c r="C6" s="40">
        <v>0</v>
      </c>
      <c r="D6" s="26">
        <f>(B6*C6)</f>
        <v>0</v>
      </c>
      <c r="E6" s="38">
        <f>(B6*J3)</f>
        <v>1.0852150668842786E-2</v>
      </c>
      <c r="M6" t="s">
        <v>11</v>
      </c>
      <c r="N6" s="24">
        <f>($B$10/5)</f>
        <v>0.44248024399999997</v>
      </c>
      <c r="O6" s="38">
        <f>($C$5*Params!K8)</f>
        <v>5.9995057873173847</v>
      </c>
      <c r="P6" s="38">
        <f>(O6*N6)</f>
        <v>2.6546627846516082</v>
      </c>
    </row>
    <row r="7" spans="2:16">
      <c r="N7" s="24">
        <f>($B$10/5)</f>
        <v>0.44248024399999997</v>
      </c>
      <c r="O7" s="38">
        <f>($C$5*Params!K9)</f>
        <v>7.3840071228521653</v>
      </c>
      <c r="P7" s="38">
        <f>(O7*N7)</f>
        <v>3.2672772734173638</v>
      </c>
    </row>
    <row r="8" spans="2:16">
      <c r="N8" s="24">
        <f>($B$10/5)</f>
        <v>0.44248024399999997</v>
      </c>
      <c r="O8" s="38">
        <f>($C$5*Params!K10)</f>
        <v>10.153009793921727</v>
      </c>
      <c r="P8" s="38">
        <f>(O8*N8)</f>
        <v>4.4925062509488756</v>
      </c>
    </row>
    <row r="9" spans="2:16">
      <c r="F9" t="s">
        <v>9</v>
      </c>
      <c r="G9" s="38">
        <f>(D10/B10)</f>
        <v>4.6103753278530553</v>
      </c>
      <c r="N9" s="24">
        <f>($B$10/5)</f>
        <v>0.44248024399999997</v>
      </c>
      <c r="O9" s="38">
        <f>($C$5*Params!K11)</f>
        <v>18.460017807130413</v>
      </c>
      <c r="P9" s="38">
        <f>(O9*N9)</f>
        <v>8.1681931835434103</v>
      </c>
    </row>
    <row r="10" spans="2:16">
      <c r="B10">
        <f>(SUM(B5:B9))</f>
        <v>2.2124012199999998</v>
      </c>
      <c r="D10" s="38">
        <f>(SUM(D5:D9))</f>
        <v>10.199999999999999</v>
      </c>
    </row>
    <row r="11" spans="2:16">
      <c r="P11" s="38">
        <f>(SUM(P6:P9))</f>
        <v>18.582639492561256</v>
      </c>
    </row>
    <row r="12" spans="2:16">
      <c r="P12" s="38"/>
    </row>
  </sheetData>
  <conditionalFormatting sqref="C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9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2.263303022059334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11.934052111635578</v>
      </c>
      <c r="K4" s="4">
        <f>(J4/D10-1)</f>
        <v>4.9608804893190861E-2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1.7296410000000002E-2</v>
      </c>
      <c r="C6" s="40">
        <v>0</v>
      </c>
      <c r="D6" s="26">
        <f>(B6*C6)</f>
        <v>0</v>
      </c>
      <c r="E6" s="38">
        <f>(B6*J3)</f>
        <v>3.9147017023777292E-2</v>
      </c>
      <c r="M6" t="s">
        <v>11</v>
      </c>
      <c r="N6" s="1">
        <f>($B$10/5)</f>
        <v>1.054569538</v>
      </c>
      <c r="O6" s="38">
        <f>($C$5*Params!K8)</f>
        <v>2.8124547193077718</v>
      </c>
      <c r="P6" s="38">
        <f>(O6*N6)</f>
        <v>2.9659290739863167</v>
      </c>
    </row>
    <row r="7" spans="2:16">
      <c r="N7" s="1">
        <f>($B$10/5)</f>
        <v>1.054569538</v>
      </c>
      <c r="O7" s="38">
        <f>($C$5*Params!K9)</f>
        <v>3.4614827314557193</v>
      </c>
      <c r="P7" s="38">
        <f>(O7*N7)</f>
        <v>3.650374244906236</v>
      </c>
    </row>
    <row r="8" spans="2:16">
      <c r="N8" s="1">
        <f>($B$10/5)</f>
        <v>1.054569538</v>
      </c>
      <c r="O8" s="38">
        <f>($C$5*Params!K10)</f>
        <v>4.7595387557516142</v>
      </c>
      <c r="P8" s="38">
        <f>(O8*N8)</f>
        <v>5.0192645867460746</v>
      </c>
    </row>
    <row r="9" spans="2:16">
      <c r="F9" t="s">
        <v>9</v>
      </c>
      <c r="G9" s="38">
        <f>(D10/B10)</f>
        <v>2.1563300645993055</v>
      </c>
      <c r="N9" s="1">
        <f>($B$10/5)</f>
        <v>1.054569538</v>
      </c>
      <c r="O9" s="38">
        <f>($C$5*Params!K11)</f>
        <v>8.6537068286392973</v>
      </c>
      <c r="P9" s="38">
        <f>(O9*N9)</f>
        <v>9.1259356122655895</v>
      </c>
    </row>
    <row r="10" spans="2:16">
      <c r="B10" s="1">
        <f>(SUM(B5:B9))</f>
        <v>5.2728476899999999</v>
      </c>
      <c r="D10" s="38">
        <f>(SUM(D5:D9))</f>
        <v>11.37</v>
      </c>
    </row>
    <row r="11" spans="2:16">
      <c r="P11" s="38">
        <f>(SUM(P6:P9))</f>
        <v>20.761503517904217</v>
      </c>
    </row>
  </sheetData>
  <conditionalFormatting sqref="C5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9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9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22" sqref="J22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43770.65334585822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1299.2263572972381</v>
      </c>
      <c r="K4" s="4">
        <f>(J4/D37-1)</f>
        <v>0.83509562804055437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3.4822999999999999E-4</v>
      </c>
      <c r="C6" s="40">
        <v>0</v>
      </c>
      <c r="D6" s="26">
        <f>(B6*C6)</f>
        <v>0</v>
      </c>
      <c r="E6" s="38">
        <f>(B6*J3)</f>
        <v>15.242254614628207</v>
      </c>
      <c r="I6" t="s">
        <v>11</v>
      </c>
      <c r="J6">
        <v>0.03</v>
      </c>
      <c r="R6" s="24">
        <f t="shared" si="0"/>
        <v>3.4822999999999999E-4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3.174099999999902E-4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13.893243078508428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23851.974075375496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2.8953319999999998E-2</v>
      </c>
      <c r="T36" s="38">
        <f>(SUM(T5:T25))</f>
        <v>523.90980017000004</v>
      </c>
    </row>
    <row r="37" spans="2:20">
      <c r="B37">
        <f>(SUM(B5:B36))</f>
        <v>2.9682590000000009E-2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47" priority="45" operator="lessThan">
      <formula>$J$3</formula>
    </cfRule>
    <cfRule type="cellIs" dxfId="246" priority="46" operator="greaterThan">
      <formula>$J$3</formula>
    </cfRule>
  </conditionalFormatting>
  <conditionalFormatting sqref="N35:N36">
    <cfRule type="cellIs" dxfId="245" priority="19" operator="lessThan">
      <formula>$J$3</formula>
    </cfRule>
    <cfRule type="cellIs" dxfId="244" priority="20" operator="greaterThan">
      <formula>$J$3</formula>
    </cfRule>
  </conditionalFormatting>
  <conditionalFormatting sqref="N42:N44">
    <cfRule type="cellIs" dxfId="243" priority="17" operator="lessThan">
      <formula>$J$3</formula>
    </cfRule>
    <cfRule type="cellIs" dxfId="242" priority="18" operator="greaterThan">
      <formula>$J$3</formula>
    </cfRule>
  </conditionalFormatting>
  <conditionalFormatting sqref="N50:N52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N58:N60">
    <cfRule type="cellIs" dxfId="239" priority="13" operator="lessThan">
      <formula>$J$3</formula>
    </cfRule>
    <cfRule type="cellIs" dxfId="238" priority="14" operator="greaterThan">
      <formula>$J$3</formula>
    </cfRule>
  </conditionalFormatting>
  <conditionalFormatting sqref="N66:N68">
    <cfRule type="cellIs" dxfId="237" priority="11" operator="lessThan">
      <formula>$J$3</formula>
    </cfRule>
    <cfRule type="cellIs" dxfId="236" priority="12" operator="greaterThan">
      <formula>$J$3</formula>
    </cfRule>
  </conditionalFormatting>
  <conditionalFormatting sqref="N73:N76">
    <cfRule type="cellIs" dxfId="235" priority="9" operator="lessThan">
      <formula>$J$3</formula>
    </cfRule>
    <cfRule type="cellIs" dxfId="234" priority="10" operator="greaterThan">
      <formula>$J$3</formula>
    </cfRule>
  </conditionalFormatting>
  <conditionalFormatting sqref="N4">
    <cfRule type="cellIs" dxfId="233" priority="1" operator="greaterThan">
      <formula>$J$3</formula>
    </cfRule>
    <cfRule type="cellIs" dxfId="23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15.316964276862819</v>
      </c>
      <c r="M3" t="s">
        <v>4</v>
      </c>
      <c r="N3" s="24">
        <f>(INDEX(N5:N16,MATCH(MAX(O6:O7),O5:O16,0))/0.9)</f>
        <v>0.30371801333333343</v>
      </c>
      <c r="O3" s="39">
        <f>(MAX(O6:O8)*0.85)</f>
        <v>12.906255639431281</v>
      </c>
      <c r="P3" s="35">
        <f>(O3*N3)</f>
        <v>3.9198623223801996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(B11*J3)</f>
        <v>8.103384656433235</v>
      </c>
      <c r="K4" s="4">
        <f>(J4/D11-1)</f>
        <v>-14.037294749674228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(B5)+B7+B8+B9</f>
        <v>0.52676553000000004</v>
      </c>
      <c r="S5" s="38">
        <f>(T5/R5)</f>
        <v>6.9018017940543661</v>
      </c>
      <c r="T5" s="38">
        <f>(D5)+(B7+B8+B9)*6.9017</f>
        <v>3.6356312799999992</v>
      </c>
    </row>
    <row r="6" spans="2:21">
      <c r="B6" s="2">
        <v>2.28086E-3</v>
      </c>
      <c r="C6" s="40">
        <v>0</v>
      </c>
      <c r="D6" s="26">
        <f>(B6*C6)</f>
        <v>0</v>
      </c>
      <c r="E6" s="38">
        <f>(B6*J3)</f>
        <v>3.4935851140525331E-2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2.28086E-3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(B7)-B7</f>
        <v>0</v>
      </c>
      <c r="S7" s="38">
        <v>0</v>
      </c>
      <c r="T7" s="38">
        <f>(D7)-B7*6.9017</f>
        <v>-0.82428226999999987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-B9</f>
        <v>0.2616</v>
      </c>
      <c r="O8" s="38">
        <f>($C$5*Params!K10)</f>
        <v>15.183830164036802</v>
      </c>
      <c r="P8" s="38">
        <f>(O8*N8)</f>
        <v>3.9720899709120276</v>
      </c>
      <c r="Q8" t="s">
        <v>12</v>
      </c>
      <c r="R8" s="1">
        <f>(B8)-B8</f>
        <v>0</v>
      </c>
      <c r="S8" s="38">
        <v>0</v>
      </c>
      <c r="T8" s="38">
        <f>(D8)-B8*6.9017</f>
        <v>-1.2281084799999999</v>
      </c>
      <c r="U8" s="39"/>
    </row>
    <row r="9" spans="2:21">
      <c r="B9" s="1">
        <v>-0.2616</v>
      </c>
      <c r="C9" s="38">
        <f>D9/B9</f>
        <v>15.329814220183486</v>
      </c>
      <c r="D9" s="38">
        <f>-4.0102794</f>
        <v>-4.0102793999999999</v>
      </c>
      <c r="N9" s="24">
        <f>4*($B$5+B6)/5-N8-N7-N6</f>
        <v>0.26357089999999994</v>
      </c>
      <c r="O9" s="38">
        <f>($C$5*Params!K11)</f>
        <v>27.606963934612367</v>
      </c>
      <c r="P9" s="38">
        <f>(O9*N9)</f>
        <v>7.2763923305133211</v>
      </c>
      <c r="R9" s="1">
        <f>(B9)-B9</f>
        <v>0</v>
      </c>
      <c r="S9" s="38">
        <v>0</v>
      </c>
      <c r="T9" s="38">
        <f>(D9)-B9*6.9017</f>
        <v>-2.20479468</v>
      </c>
      <c r="U9" s="39"/>
    </row>
    <row r="10" spans="2:21">
      <c r="C10" s="38"/>
      <c r="D10" s="38"/>
      <c r="F10" t="s">
        <v>9</v>
      </c>
      <c r="G10" s="38">
        <f>(D11/B11)</f>
        <v>-1.1748575583324568</v>
      </c>
      <c r="O10" s="38"/>
      <c r="P10" s="38"/>
      <c r="R10" s="1"/>
      <c r="S10" s="38"/>
      <c r="T10" s="38"/>
      <c r="U10" s="39"/>
    </row>
    <row r="11" spans="2:21">
      <c r="B11">
        <f>(SUM(B5:B10))</f>
        <v>0.52904638999999998</v>
      </c>
      <c r="C11" s="38"/>
      <c r="D11" s="38">
        <f>(SUM(D5:D10))</f>
        <v>-0.62155415000000058</v>
      </c>
      <c r="O11" s="38"/>
      <c r="P11" s="38">
        <f>(SUM(P6:P9))</f>
        <v>16.928072015130482</v>
      </c>
      <c r="R11" s="1"/>
      <c r="S11" s="38"/>
      <c r="T11" s="39"/>
    </row>
    <row r="22" spans="18:20">
      <c r="R22">
        <f>(SUM(R5:R21))</f>
        <v>0.52904639000000009</v>
      </c>
      <c r="T22" s="38">
        <f>(SUM(T5:T21))</f>
        <v>-0.62155415000000058</v>
      </c>
    </row>
  </sheetData>
  <conditionalFormatting sqref="C5 G10 O9 S5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3" operator="greaterThan">
      <formula>$J$3</formula>
    </cfRule>
    <cfRule type="cellIs" dxfId="110" priority="4" operator="less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72.570611579975846</v>
      </c>
      <c r="N3" s="24"/>
      <c r="O3" s="39"/>
      <c r="P3" s="35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11.904764697552169</v>
      </c>
      <c r="K4" s="4">
        <f>(J4/D15-1)</f>
        <v>0.1977976135928885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1.08629E-3</v>
      </c>
      <c r="C6" s="40">
        <v>0</v>
      </c>
      <c r="D6" s="26">
        <f>(B6*C6)</f>
        <v>0</v>
      </c>
      <c r="E6" s="38">
        <f>(B6*J3)</f>
        <v>7.8832729653211961E-2</v>
      </c>
      <c r="M6" t="s">
        <v>11</v>
      </c>
      <c r="N6" s="49">
        <f>(SUM(R$5:R$8)/5)</f>
        <v>3.2808776000000005E-2</v>
      </c>
      <c r="O6" s="38">
        <f>($C$7*Params!K8)</f>
        <v>89.451451451451447</v>
      </c>
      <c r="P6" s="38">
        <f>(O6*N6)</f>
        <v>2.9347926335455456</v>
      </c>
      <c r="R6" s="2">
        <f>(B6)</f>
        <v>1.08629E-3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49">
        <f>(SUM(R$5:R$8)/5)</f>
        <v>3.2808776000000005E-2</v>
      </c>
      <c r="O7" s="38">
        <f>($C$7*Params!K9)</f>
        <v>110.09409409409409</v>
      </c>
      <c r="P7" s="38">
        <f>(O7*N7)</f>
        <v>3.6120524720560563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49">
        <f>(SUM(R$5:R$8)/5)</f>
        <v>3.2808776000000005E-2</v>
      </c>
      <c r="O8" s="38">
        <f>($C$7*Params!K10)</f>
        <v>151.37937937937937</v>
      </c>
      <c r="P8" s="38">
        <f>(O8*N8)</f>
        <v>4.966572149077078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1.2901170434945008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49">
        <f>(SUM(R$5:R$8)/5)</f>
        <v>3.2808776000000005E-2</v>
      </c>
      <c r="O9" s="38">
        <f>($C$7*Params!K11)</f>
        <v>275.23523523523522</v>
      </c>
      <c r="P9" s="38">
        <f>(O9*N9)</f>
        <v>9.0301311801401418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20.54354843481882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60.586705764335733</v>
      </c>
    </row>
    <row r="15" spans="2:21">
      <c r="B15" s="1">
        <f>(SUM(B5:B14))</f>
        <v>0.16404388</v>
      </c>
      <c r="D15" s="38">
        <f>(SUM(D5:D14))</f>
        <v>9.9388782899999999</v>
      </c>
    </row>
    <row r="21" spans="18:20">
      <c r="R21">
        <f>(SUM(R5:R20))</f>
        <v>0.16404388000000003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09" priority="21" operator="lessThan">
      <formula>$J$3</formula>
    </cfRule>
    <cfRule type="cellIs" dxfId="108" priority="22" operator="greaterThan">
      <formula>$J$3</formula>
    </cfRule>
  </conditionalFormatting>
  <conditionalFormatting sqref="C9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C12:C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O6:O7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14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21"/>
  <sheetViews>
    <sheetView workbookViewId="0">
      <selection activeCell="G23" sqref="G23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1.0310974954526531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(B21*J3)</f>
        <v>3.9655612805683051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0">
        <v>5.5569979999999998E-2</v>
      </c>
      <c r="C6" s="40">
        <v>0</v>
      </c>
      <c r="D6" s="26">
        <f>(B6*C6)</f>
        <v>0</v>
      </c>
      <c r="E6" s="38">
        <f>(B6*J3)</f>
        <v>5.7298067200354019E-2</v>
      </c>
    </row>
    <row r="7" spans="2:10">
      <c r="B7" s="49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9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6" spans="2:10">
      <c r="B16">
        <v>0.31639059000000003</v>
      </c>
      <c r="C16" s="38">
        <v>0</v>
      </c>
      <c r="D16" s="38">
        <f t="shared" si="0"/>
        <v>0</v>
      </c>
    </row>
    <row r="17" spans="2:4">
      <c r="B17">
        <v>0.31639059000000003</v>
      </c>
      <c r="C17" s="38">
        <v>0</v>
      </c>
      <c r="D17" s="38">
        <f t="shared" si="0"/>
        <v>0</v>
      </c>
    </row>
    <row r="18" spans="2:4">
      <c r="B18">
        <v>0.31639059000000003</v>
      </c>
      <c r="C18" s="38">
        <v>0</v>
      </c>
      <c r="D18" s="38">
        <f t="shared" si="0"/>
        <v>0</v>
      </c>
    </row>
    <row r="19" spans="2:4">
      <c r="B19">
        <v>0.31639059000000003</v>
      </c>
      <c r="C19" s="38">
        <v>0</v>
      </c>
      <c r="D19" s="38">
        <f t="shared" si="0"/>
        <v>0</v>
      </c>
    </row>
    <row r="21" spans="2:4">
      <c r="B21">
        <f>(SUM(B5:B20))</f>
        <v>3.8459615100000013</v>
      </c>
      <c r="D21" s="38">
        <f>(SUM(D5:D20))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O41" sqref="O41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2.177572496183007E-4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(B39*J3)</f>
        <v>27.871345481088451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48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48">
        <v>5.0000000000000001E-4</v>
      </c>
      <c r="O9" s="21">
        <f>B39/2</f>
        <v>63996.366435430245</v>
      </c>
      <c r="P9" s="38">
        <f>(O9*N9)</f>
        <v>31.998183217715123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N11" t="s">
        <v>1</v>
      </c>
      <c r="O11" t="s">
        <v>0</v>
      </c>
      <c r="P11" t="s">
        <v>2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M12" t="s">
        <v>4</v>
      </c>
      <c r="N12" s="48">
        <f>C37/2</f>
        <v>1.2834058513333334E-4</v>
      </c>
      <c r="O12" s="30">
        <f>-B37-B36</f>
        <v>212000</v>
      </c>
      <c r="P12" s="38">
        <f>(O12*N12)</f>
        <v>27.208204048266669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4837.9901369299996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4837.9901369299996</v>
      </c>
      <c r="C18" s="40">
        <v>0</v>
      </c>
      <c r="D18" s="26">
        <f>(B18*C18)</f>
        <v>0</v>
      </c>
      <c r="E18" s="38">
        <f>(B18*J3)</f>
        <v>1.0535074258983428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7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  <c r="E32" s="39">
        <f>(B32+B33+B34)*J3</f>
        <v>47.039021071832636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/>
    </row>
    <row r="36" spans="2:20">
      <c r="B36" s="29">
        <v>-62000</v>
      </c>
      <c r="C36" s="28">
        <f t="shared" si="4"/>
        <v>2.5846530951612908E-4</v>
      </c>
      <c r="D36" s="38">
        <v>-16.024849190000001</v>
      </c>
      <c r="E36" s="38">
        <f>B36*J3</f>
        <v>-13.500949476334643</v>
      </c>
    </row>
    <row r="37" spans="2:20">
      <c r="B37" s="29">
        <v>-150000</v>
      </c>
      <c r="C37" s="28">
        <f t="shared" si="4"/>
        <v>2.5668117026666668E-4</v>
      </c>
      <c r="D37" s="38">
        <v>-38.502175540000003</v>
      </c>
      <c r="E37" s="38">
        <f>B37*J3</f>
        <v>-32.663587442745104</v>
      </c>
    </row>
    <row r="39" spans="2:20">
      <c r="B39">
        <f>(SUM(B5:B38))</f>
        <v>127992.73287086049</v>
      </c>
      <c r="D39" s="38">
        <f>(SUM(D5:D38))</f>
        <v>-76.307382291799911</v>
      </c>
      <c r="F39" t="s">
        <v>9</v>
      </c>
      <c r="G39" s="28">
        <f>(D39/B39)</f>
        <v>-5.9618527224347174E-4</v>
      </c>
      <c r="R39">
        <f>(SUM(R5:R38))</f>
        <v>339992.73287086049</v>
      </c>
      <c r="T39">
        <f>(SUM(T5:T38))</f>
        <v>-21.78035756179991</v>
      </c>
    </row>
  </sheetData>
  <conditionalFormatting sqref="C5:C9 C14:C16 C25:C26 C28 C30 C32 C35">
    <cfRule type="cellIs" dxfId="99" priority="15" operator="lessThan">
      <formula>$J$3</formula>
    </cfRule>
    <cfRule type="cellIs" dxfId="98" priority="16" operator="greaterThan">
      <formula>$J$3</formula>
    </cfRule>
  </conditionalFormatting>
  <conditionalFormatting sqref="N6">
    <cfRule type="cellIs" dxfId="97" priority="11" operator="lessThan">
      <formula>$J$3</formula>
    </cfRule>
    <cfRule type="cellIs" dxfId="96" priority="12" operator="greaterThan">
      <formula>$J$3</formula>
    </cfRule>
  </conditionalFormatting>
  <conditionalFormatting sqref="N9">
    <cfRule type="cellIs" dxfId="95" priority="7" operator="lessThan">
      <formula>$J$3</formula>
    </cfRule>
    <cfRule type="cellIs" dxfId="94" priority="8" operator="greaterThan">
      <formula>$J$3</formula>
    </cfRule>
  </conditionalFormatting>
  <conditionalFormatting sqref="S5:S9 S13">
    <cfRule type="cellIs" dxfId="93" priority="5" operator="lessThan">
      <formula>$J$3</formula>
    </cfRule>
    <cfRule type="cellIs" dxfId="92" priority="6" operator="greaterThan">
      <formula>$J$3</formula>
    </cfRule>
  </conditionalFormatting>
  <conditionalFormatting sqref="G39">
    <cfRule type="cellIs" dxfId="91" priority="3" operator="lessThan">
      <formula>$J$3</formula>
    </cfRule>
    <cfRule type="cellIs" dxfId="90" priority="4" operator="greaterThan">
      <formula>$J$3</formula>
    </cfRule>
  </conditionalFormatting>
  <conditionalFormatting sqref="N12">
    <cfRule type="cellIs" dxfId="89" priority="1" operator="greaterThan">
      <formula>$J$3</formula>
    </cfRule>
    <cfRule type="cellIs" dxfId="88" priority="2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S30" sqref="S30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0.81984196877483662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44.58850212180382</v>
      </c>
      <c r="K4" s="4">
        <f>(J4/D18-1)</f>
        <v>-5.8645717740265058E-2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0.31608402000000002</v>
      </c>
      <c r="C6" s="40">
        <v>0</v>
      </c>
      <c r="D6" s="26">
        <f>(B6*C6)</f>
        <v>0</v>
      </c>
      <c r="E6" s="38">
        <f>(B6*J3)</f>
        <v>0.25913894525506487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0.31608402000000002</v>
      </c>
      <c r="S6" s="40">
        <v>0</v>
      </c>
      <c r="T6" s="26">
        <f>(D6)</f>
        <v>0</v>
      </c>
      <c r="U6" s="38">
        <f>(R6*J3)</f>
        <v>0.25913894525506487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0.87091755381065861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54.386703560000001</v>
      </c>
      <c r="S17" s="38"/>
      <c r="T17" s="38">
        <f>(SUM(T5:T12))</f>
        <v>47.366334824300644</v>
      </c>
    </row>
    <row r="18" spans="2:20">
      <c r="B18" s="19">
        <f>(SUM(B5:B17))</f>
        <v>54.386703560000008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87" priority="23" operator="lessThan">
      <formula>$J$3</formula>
    </cfRule>
    <cfRule type="cellIs" dxfId="86" priority="24" operator="greaterThan">
      <formula>$J$3</formula>
    </cfRule>
  </conditionalFormatting>
  <conditionalFormatting sqref="S8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R41" sqref="R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0.72844661869770821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38.454763719477818</v>
      </c>
      <c r="K4" s="4">
        <f>(J4/D10-1)</f>
        <v>-2.8674823958630635E-2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0.32705004999999998</v>
      </c>
      <c r="C6" s="40">
        <v>0</v>
      </c>
      <c r="D6" s="26">
        <f>(B6*C6)</f>
        <v>0</v>
      </c>
      <c r="E6" s="38">
        <f>(B6*J3)</f>
        <v>0.2382385030674164</v>
      </c>
      <c r="M6" t="s">
        <v>11</v>
      </c>
      <c r="N6" s="29">
        <f>($B$10/5)</f>
        <v>10.558018317999998</v>
      </c>
      <c r="O6" s="38">
        <f>($C$5*Params!K8)</f>
        <v>0.98505771545924514</v>
      </c>
      <c r="P6" s="38">
        <f>(O6*N6)</f>
        <v>10.40025740410594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0.15686481667815727</v>
      </c>
      <c r="N7" s="29">
        <f>($B$10/5)</f>
        <v>10.558018317999998</v>
      </c>
      <c r="O7" s="38">
        <f>($C$5*Params!K9)</f>
        <v>1.2123787267190709</v>
      </c>
      <c r="P7" s="38">
        <f>(O7*N7)</f>
        <v>12.800316805053464</v>
      </c>
    </row>
    <row r="8" spans="2:16">
      <c r="N8" s="29">
        <f>($B$10/5)</f>
        <v>10.558018317999998</v>
      </c>
      <c r="O8" s="38">
        <f>($C$5*Params!K10)</f>
        <v>1.6670207492387226</v>
      </c>
      <c r="P8" s="38">
        <f>(O8*N8)</f>
        <v>17.600435606948515</v>
      </c>
    </row>
    <row r="9" spans="2:16">
      <c r="F9" t="s">
        <v>9</v>
      </c>
      <c r="G9" s="38">
        <f>(D10/B10)</f>
        <v>0.74995134138959363</v>
      </c>
      <c r="N9" s="29">
        <f>($B$10/5)</f>
        <v>10.558018317999998</v>
      </c>
      <c r="O9" s="38">
        <f>($C$5*Params!K11)</f>
        <v>3.0309468167976772</v>
      </c>
      <c r="P9" s="38">
        <f>(O9*N9)</f>
        <v>32.00079201263366</v>
      </c>
    </row>
    <row r="10" spans="2:16">
      <c r="B10" s="29">
        <f>(SUM(B5:B9))</f>
        <v>52.790091589999996</v>
      </c>
      <c r="D10" s="38">
        <f>(SUM(D5:D9))</f>
        <v>39.590000000000003</v>
      </c>
    </row>
    <row r="11" spans="2:16">
      <c r="P11" s="38">
        <f>(SUM(P6:P9))</f>
        <v>72.801801828741588</v>
      </c>
    </row>
  </sheetData>
  <conditionalFormatting sqref="C5">
    <cfRule type="cellIs" dxfId="83" priority="5" operator="lessThan">
      <formula>$J$3</formula>
    </cfRule>
    <cfRule type="cellIs" dxfId="82" priority="6" operator="greaterThan">
      <formula>$J$3</formula>
    </cfRule>
  </conditionalFormatting>
  <conditionalFormatting sqref="O6:O9">
    <cfRule type="cellIs" dxfId="81" priority="3" operator="lessThan">
      <formula>$J$3</formula>
    </cfRule>
    <cfRule type="cellIs" dxfId="80" priority="4" operator="greaterThan">
      <formula>$J$3</formula>
    </cfRule>
  </conditionalFormatting>
  <conditionalFormatting sqref="G9">
    <cfRule type="cellIs" dxfId="79" priority="1" operator="lessThan">
      <formula>$J$3</formula>
    </cfRule>
    <cfRule type="cellIs" dxfId="78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2:V24"/>
  <sheetViews>
    <sheetView workbookViewId="0">
      <selection activeCell="R7" sqref="R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2.3004532216241889</v>
      </c>
      <c r="M3" t="s">
        <v>4</v>
      </c>
      <c r="N3" s="24">
        <f>(INDEX(N5:N27,MATCH(MAX(O6,O14),O5:O27,0))/0.9)</f>
        <v>4.7777777777777777</v>
      </c>
      <c r="O3" s="39">
        <f>(MAX(O6,O14)*0.85)</f>
        <v>2.0080046913953487</v>
      </c>
      <c r="P3" s="38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(B21*J3)</f>
        <v>43.237815754052725</v>
      </c>
      <c r="K4" s="4">
        <f>(J4/D21-1)</f>
        <v>0.50033143693990723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-B18</f>
        <v>0.37769784172661802</v>
      </c>
      <c r="O6" s="38">
        <f>P6/N6</f>
        <v>2.1765811428571467</v>
      </c>
      <c r="P6" s="38">
        <f>-D18</f>
        <v>0.82208999999999999</v>
      </c>
      <c r="Q6" t="s">
        <v>12</v>
      </c>
      <c r="R6" s="1">
        <f>B6+B19</f>
        <v>17.026256749999998</v>
      </c>
      <c r="S6" s="38">
        <f>(T6/R6)</f>
        <v>1.7395485358224734</v>
      </c>
      <c r="T6" s="38">
        <f>D6+B19*1.74</f>
        <v>29.618000000000002</v>
      </c>
      <c r="U6" s="38" t="str">
        <f>(E6)</f>
        <v>DCA2</v>
      </c>
    </row>
    <row r="7" spans="2:22">
      <c r="B7" s="2">
        <v>9.9666560000000001E-2</v>
      </c>
      <c r="C7" s="40">
        <v>0</v>
      </c>
      <c r="D7" s="26">
        <v>0</v>
      </c>
      <c r="E7" s="39">
        <f>B7*J3</f>
        <v>0.22927825904020052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9.9666560000000001E-2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9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0.44725754541725915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0.44516357695039854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>
        <f>B18</f>
        <v>-0.37769784172661802</v>
      </c>
      <c r="S10" s="38">
        <f>T10/R10</f>
        <v>2.1765811428571467</v>
      </c>
      <c r="T10" s="38">
        <f>D18</f>
        <v>-0.82208999999999999</v>
      </c>
      <c r="U10" t="s">
        <v>83</v>
      </c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5.8192473575231318</v>
      </c>
      <c r="R11" s="1">
        <f>B19-B19</f>
        <v>0</v>
      </c>
      <c r="S11" s="38">
        <v>0</v>
      </c>
      <c r="T11" s="39">
        <f>D19-B19*1.74</f>
        <v>-2.6761413800000007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-B19</f>
        <v>4.3</v>
      </c>
      <c r="O14" s="38">
        <f>P14/N14</f>
        <v>2.3623584604651162</v>
      </c>
      <c r="P14" s="38">
        <f>-D19</f>
        <v>10.15814138</v>
      </c>
      <c r="Q14" t="s">
        <v>12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B18" s="1">
        <v>-0.37769784172661802</v>
      </c>
      <c r="C18" s="38">
        <f t="shared" si="0"/>
        <v>2.1765811428571467</v>
      </c>
      <c r="D18" s="38">
        <v>-0.82208999999999999</v>
      </c>
      <c r="E18" t="str">
        <f>U10</f>
        <v>Learn 1/5</v>
      </c>
      <c r="N18" s="1"/>
      <c r="O18" s="38"/>
      <c r="P18" s="38"/>
      <c r="S18" s="38"/>
      <c r="T18" s="38"/>
    </row>
    <row r="19" spans="2:20">
      <c r="B19" s="1">
        <v>-4.3</v>
      </c>
      <c r="C19" s="38">
        <f t="shared" si="0"/>
        <v>2.3623584604651162</v>
      </c>
      <c r="D19" s="38">
        <v>-10.15814138</v>
      </c>
      <c r="O19" s="38"/>
      <c r="P19" s="38">
        <f>(SUM(P14:P17))</f>
        <v>68.402721982712663</v>
      </c>
      <c r="S19" s="38"/>
      <c r="T19" s="38"/>
    </row>
    <row r="20" spans="2:20">
      <c r="C20" s="38"/>
      <c r="D20" s="38"/>
      <c r="F20" t="s">
        <v>9</v>
      </c>
      <c r="G20" s="38">
        <f>(D21/B21)</f>
        <v>1.5332966869748585</v>
      </c>
      <c r="S20" s="38"/>
      <c r="T20" s="38"/>
    </row>
    <row r="21" spans="2:20">
      <c r="B21" s="1">
        <f>(SUM(B5:B20))</f>
        <v>18.795346650659358</v>
      </c>
      <c r="C21" s="38"/>
      <c r="D21" s="38">
        <f>(SUM(D5:D20))</f>
        <v>28.818842749999998</v>
      </c>
      <c r="S21" s="38"/>
      <c r="T21" s="38"/>
    </row>
    <row r="22" spans="2:20">
      <c r="S22" s="38"/>
      <c r="T22" s="38"/>
    </row>
    <row r="23" spans="2:20">
      <c r="S23" s="38"/>
      <c r="T23" s="38"/>
    </row>
    <row r="24" spans="2:20">
      <c r="R24" s="1">
        <f>(SUM(R5:R23))</f>
        <v>18.795346650659361</v>
      </c>
      <c r="S24" s="38"/>
      <c r="T24" s="38">
        <f>(SUM(T5:T23))</f>
        <v>28.818842750000002</v>
      </c>
    </row>
  </sheetData>
  <conditionalFormatting sqref="C5:C6 C12:C14 C16:C17 O7:O9 O15:O17 S5:S6">
    <cfRule type="cellIs" dxfId="77" priority="19" operator="lessThan">
      <formula>$J$3</formula>
    </cfRule>
    <cfRule type="cellIs" dxfId="76" priority="20" operator="greaterThan">
      <formula>$J$3</formula>
    </cfRule>
  </conditionalFormatting>
  <conditionalFormatting sqref="O3">
    <cfRule type="cellIs" dxfId="75" priority="1" operator="greaterThan">
      <formula>$J$3</formula>
    </cfRule>
    <cfRule type="cellIs" dxfId="74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2">
        <v>9.7210330620251014E-6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4.2751951464368547</v>
      </c>
      <c r="K4" s="4">
        <f>(J4/D13-1)</f>
        <v>-0.15006060707020785</v>
      </c>
    </row>
    <row r="5" spans="2:16">
      <c r="B5" s="22">
        <v>439531.68</v>
      </c>
      <c r="C5" s="52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256.47000000000003</v>
      </c>
      <c r="C6" s="40">
        <v>0</v>
      </c>
      <c r="D6" s="26">
        <f>(B6*C6)</f>
        <v>0</v>
      </c>
      <c r="E6" s="38">
        <f>(B6*J3)</f>
        <v>2.4931533494175779E-3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1.1437324993863524E-5</v>
      </c>
    </row>
    <row r="13" spans="2:16">
      <c r="B13">
        <f>(SUM(B5:B12))</f>
        <v>439788.14999999997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73" priority="5" operator="lessThan">
      <formula>$J$3</formula>
    </cfRule>
    <cfRule type="cellIs" dxfId="72" priority="6" operator="greaterThan">
      <formula>$J$3</formula>
    </cfRule>
  </conditionalFormatting>
  <conditionalFormatting sqref="J3">
    <cfRule type="cellIs" dxfId="71" priority="3" operator="lessThan">
      <formula>$J$3</formula>
    </cfRule>
    <cfRule type="cellIs" dxfId="70" priority="4" operator="greaterThan">
      <formula>$J$3</formula>
    </cfRule>
  </conditionalFormatting>
  <conditionalFormatting sqref="O6:O9">
    <cfRule type="cellIs" dxfId="69" priority="1" operator="lessThan">
      <formula>$J$3</formula>
    </cfRule>
    <cfRule type="cellIs" dxfId="68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R40" sqref="R40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62.596792473327923</v>
      </c>
      <c r="M3" t="s">
        <v>4</v>
      </c>
      <c r="N3" s="24">
        <f>(INDEX(N5:N26,MATCH(MAX(O6:O9,O23:O24,O14:O15),O5:O26,0))/0.9)</f>
        <v>0.1209481488888889</v>
      </c>
      <c r="O3" s="39">
        <f>(MAX(O14:O16,O23:O25,O6:O9)*0.85)</f>
        <v>43.667054002813281</v>
      </c>
      <c r="P3" s="38">
        <f>(O3*N3)</f>
        <v>5.2814493490714129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(B43*J3)</f>
        <v>229.76948288827032</v>
      </c>
      <c r="K4" s="4">
        <f>(J4/D43-1)</f>
        <v>5.6224273961649693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84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-B36</f>
        <v>0.10885</v>
      </c>
      <c r="O7" s="38">
        <f>P7/N7</f>
        <v>23.941203491042717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Q9" t="s">
        <v>12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0.13145326419398862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85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(B17+B21+B37-N16)</f>
        <v>2.3504494400000002</v>
      </c>
      <c r="S13" s="38">
        <f>(T13/R13)</f>
        <v>20.31120780713325</v>
      </c>
      <c r="T13" s="38">
        <f>(D17+11.97*B21+B37*19.42078-N16*19.42078)</f>
        <v>47.740467015999982</v>
      </c>
      <c r="U13" t="s">
        <v>10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0.38565965218647852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5">
        <f>(B18)</f>
        <v>6.1498669999999998E-2</v>
      </c>
      <c r="S14" s="40">
        <f>(C18)</f>
        <v>0</v>
      </c>
      <c r="T14" s="26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3.303720993798847E-2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B19+B22+B39-N25</f>
        <v>0.72963005000000003</v>
      </c>
      <c r="S15" s="38">
        <f>(T15/R15)</f>
        <v>20.987209065745034</v>
      </c>
      <c r="T15" s="38">
        <f>(D19+12.6*B22+20.2393*B39-20.2393*N25)</f>
        <v>15.312898400000003</v>
      </c>
      <c r="U15" t="s">
        <v>15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-B40-N25</f>
        <v>1.2328000000000001</v>
      </c>
      <c r="O16" s="38">
        <f>C40</f>
        <v>46.861096439187513</v>
      </c>
      <c r="P16" s="38">
        <f>(O16*N16)</f>
        <v>57.770359690230372</v>
      </c>
      <c r="Q16" t="s">
        <v>12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0.53528441199999999</v>
      </c>
      <c r="O17" s="38">
        <f>($S$13*Params!K11)</f>
        <v>81.244831228533002</v>
      </c>
      <c r="P17" s="38">
        <f>(O17*N17)</f>
        <v>43.489091712204527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6.1498669999999998E-2</v>
      </c>
      <c r="C18" s="40">
        <v>0</v>
      </c>
      <c r="D18" s="26">
        <v>0</v>
      </c>
      <c r="E18" s="39">
        <f>B18*J3</f>
        <v>3.8496194833756778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170.76381615243491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86</v>
      </c>
      <c r="V19" s="39">
        <f>-T19+R19*$J$3</f>
        <v>0.46952556977048915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87</v>
      </c>
      <c r="V20" s="39">
        <f>-T20+R20*$J$3</f>
        <v>2.8830531612258974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88</v>
      </c>
      <c r="V21" s="39">
        <f>-T21+R21*$J$3</f>
        <v>3.2765533603691694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  <c r="U22" t="s">
        <v>89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B37-B37</f>
        <v>0</v>
      </c>
      <c r="S23" s="39">
        <v>0</v>
      </c>
      <c r="T23" s="38">
        <f>D37-B37*19.42078</f>
        <v>-24.906942350000001</v>
      </c>
      <c r="U23" t="s">
        <v>90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33.579534505192058</v>
      </c>
      <c r="P24" s="38">
        <f>(O24*N24)</f>
        <v>21.826697428374839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91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0.382</f>
        <v>0.38200000000000001</v>
      </c>
      <c r="O25" s="38">
        <f>C40</f>
        <v>46.861096439187513</v>
      </c>
      <c r="P25" s="38">
        <f>(O25*N25)</f>
        <v>17.90093883976963</v>
      </c>
      <c r="Q25" t="s">
        <v>12</v>
      </c>
      <c r="R25" s="24">
        <f>B39-B39</f>
        <v>0</v>
      </c>
      <c r="S25" s="38">
        <v>0</v>
      </c>
      <c r="T25" s="38">
        <f>D39-B39*20.2393</f>
        <v>-8.2515799200000011</v>
      </c>
      <c r="U25" t="s">
        <v>92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0.16149089600000002</v>
      </c>
      <c r="O26" s="38">
        <f>($S$15*Params!K11)</f>
        <v>83.948836262980137</v>
      </c>
      <c r="P26" s="38">
        <f>(O26*N26)</f>
        <v>13.556972786265955</v>
      </c>
      <c r="R26" s="24">
        <f>N16-N16</f>
        <v>0</v>
      </c>
      <c r="S26" s="38">
        <v>0</v>
      </c>
      <c r="T26" s="38">
        <f>-57.77+(N16)*19.42078</f>
        <v>-33.828062416000002</v>
      </c>
      <c r="U26" t="s">
        <v>93</v>
      </c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R27" s="24">
        <f>N25-N25</f>
        <v>0</v>
      </c>
      <c r="S27" s="39">
        <v>0</v>
      </c>
      <c r="T27" s="39">
        <f>-P25+N25*20.2393</f>
        <v>-10.169526239769629</v>
      </c>
      <c r="U27" t="s">
        <v>94</v>
      </c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54.447712574410431</v>
      </c>
      <c r="R28" s="24">
        <f>B41</f>
        <v>-0.10879999999999999</v>
      </c>
      <c r="S28" s="38">
        <f>C41</f>
        <v>58.381847426470586</v>
      </c>
      <c r="T28" s="38">
        <f>D41</f>
        <v>-6.3519449999999997</v>
      </c>
      <c r="U28" t="s">
        <v>95</v>
      </c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41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N38" s="24"/>
      <c r="P38" s="39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N39" s="24">
        <f>N16+N25</f>
        <v>1.6148000000000002</v>
      </c>
      <c r="S39" s="38"/>
      <c r="T39" s="38"/>
    </row>
    <row r="40" spans="2:23">
      <c r="B40" s="24">
        <v>-1.6148</v>
      </c>
      <c r="C40" s="38">
        <f t="shared" si="2"/>
        <v>46.861096439187513</v>
      </c>
      <c r="D40" s="38">
        <v>-75.671298530000001</v>
      </c>
      <c r="E40" s="38"/>
      <c r="S40" s="38"/>
      <c r="T40" s="38"/>
    </row>
    <row r="41" spans="2:23">
      <c r="B41" s="24">
        <v>-0.10879999999999999</v>
      </c>
      <c r="C41" s="38">
        <f t="shared" si="2"/>
        <v>58.381847426470586</v>
      </c>
      <c r="D41" s="38">
        <f>-6.4064+0.054455</f>
        <v>-6.3519449999999997</v>
      </c>
      <c r="E41" s="38"/>
      <c r="S41" s="38"/>
      <c r="T41" s="38"/>
    </row>
    <row r="42" spans="2:23">
      <c r="C42" s="38"/>
      <c r="D42" s="38"/>
      <c r="E42" s="38"/>
      <c r="S42" s="38"/>
      <c r="T42" s="38"/>
    </row>
    <row r="43" spans="2:23">
      <c r="B43" s="24">
        <f>(SUM(B5:B42))</f>
        <v>3.6706271010000004</v>
      </c>
      <c r="C43" s="38"/>
      <c r="D43" s="38">
        <f>(SUM(D5:D42))</f>
        <v>34.695659029999973</v>
      </c>
      <c r="E43" s="38"/>
      <c r="F43" t="s">
        <v>9</v>
      </c>
      <c r="G43" s="38">
        <f>(D43/B43)</f>
        <v>9.4522429207117575</v>
      </c>
      <c r="R43" s="24">
        <f>(SUM(R5:R36))</f>
        <v>3.6706271010000004</v>
      </c>
      <c r="S43" s="38"/>
      <c r="T43" s="38">
        <f>(SUM(T5:T36))</f>
        <v>34.693659160230354</v>
      </c>
      <c r="V43" t="s">
        <v>9</v>
      </c>
      <c r="W43" s="38">
        <f>(T43/R43)</f>
        <v>9.4516980901652072</v>
      </c>
    </row>
    <row r="44" spans="2:23">
      <c r="M44" s="24"/>
      <c r="S44" s="38"/>
      <c r="T44" s="38"/>
    </row>
    <row r="47" spans="2:23">
      <c r="N47" s="24"/>
    </row>
  </sheetData>
  <conditionalFormatting sqref="C5 C8:C10 S5">
    <cfRule type="cellIs" dxfId="67" priority="95" operator="lessThan">
      <formula>$J$3</formula>
    </cfRule>
    <cfRule type="cellIs" dxfId="66" priority="96" operator="greaterThan">
      <formula>$J$3</formula>
    </cfRule>
  </conditionalFormatting>
  <conditionalFormatting sqref="C16:C17">
    <cfRule type="cellIs" dxfId="65" priority="79" operator="lessThan">
      <formula>$J$3</formula>
    </cfRule>
    <cfRule type="cellIs" dxfId="64" priority="80" operator="greaterThan">
      <formula>$J$3</formula>
    </cfRule>
    <cfRule type="cellIs" dxfId="63" priority="81" operator="lessThan">
      <formula>$J$3</formula>
    </cfRule>
    <cfRule type="cellIs" dxfId="62" priority="82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</conditionalFormatting>
  <conditionalFormatting sqref="C19:C20 G43 W43">
    <cfRule type="cellIs" dxfId="59" priority="73" operator="lessThan">
      <formula>$J$3</formula>
    </cfRule>
    <cfRule type="cellIs" dxfId="58" priority="74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  <cfRule type="cellIs" dxfId="55" priority="77" operator="lessThan">
      <formula>$J$3</formula>
    </cfRule>
    <cfRule type="cellIs" dxfId="54" priority="78" operator="greaterThan">
      <formula>$J$3</formula>
    </cfRule>
    <cfRule type="cellIs" dxfId="53" priority="87" operator="lessThan">
      <formula>$J$3</formula>
    </cfRule>
    <cfRule type="cellIs" dxfId="52" priority="88" operator="greaterThan">
      <formula>$J$3</formula>
    </cfRule>
  </conditionalFormatting>
  <conditionalFormatting sqref="C27:C28 C30:C31 C34:C35">
    <cfRule type="cellIs" dxfId="51" priority="65" operator="lessThan">
      <formula>$J$3</formula>
    </cfRule>
    <cfRule type="cellIs" dxfId="50" priority="66" operator="greaterThan">
      <formula>$J$3</formula>
    </cfRule>
    <cfRule type="cellIs" dxfId="49" priority="67" operator="lessThan">
      <formula>$J$3</formula>
    </cfRule>
    <cfRule type="cellIs" dxfId="48" priority="68" operator="greaterThan">
      <formula>$J$3</formula>
    </cfRule>
    <cfRule type="cellIs" dxfId="47" priority="69" operator="lessThan">
      <formula>$J$3</formula>
    </cfRule>
    <cfRule type="cellIs" dxfId="46" priority="70" operator="greaterThan">
      <formula>$J$3</formula>
    </cfRule>
    <cfRule type="cellIs" dxfId="45" priority="71" operator="lessThan">
      <formula>$J$3</formula>
    </cfRule>
    <cfRule type="cellIs" dxfId="44" priority="72" operator="greaterThan">
      <formula>$J$3</formula>
    </cfRule>
    <cfRule type="cellIs" dxfId="43" priority="85" operator="lessThan">
      <formula>$J$3</formula>
    </cfRule>
    <cfRule type="cellIs" dxfId="42" priority="86" operator="greaterThan">
      <formula>$J$3</formula>
    </cfRule>
  </conditionalFormatting>
  <conditionalFormatting sqref="O17 O26 S12:S13 S15:S16">
    <cfRule type="cellIs" dxfId="41" priority="59" operator="lessThan">
      <formula>$J$3</formula>
    </cfRule>
    <cfRule type="cellIs" dxfId="40" priority="60" operator="greaterThan">
      <formula>$J$3</formula>
    </cfRule>
    <cfRule type="cellIs" dxfId="39" priority="61" operator="lessThan">
      <formula>$J$3</formula>
    </cfRule>
    <cfRule type="cellIs" dxfId="38" priority="62" operator="greaterThan">
      <formula>$J$3</formula>
    </cfRule>
  </conditionalFormatting>
  <conditionalFormatting sqref="O3">
    <cfRule type="cellIs" dxfId="37" priority="41" operator="greaterThan">
      <formula>$J$3</formula>
    </cfRule>
    <cfRule type="cellIs" dxfId="36" priority="42" operator="less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0.1049018223128647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0.97987825132547024</v>
      </c>
      <c r="K4" s="4">
        <f>(J4/D13-1)</f>
        <v>0.95975650265094048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0.23964943999999999</v>
      </c>
      <c r="C6" s="40">
        <v>0</v>
      </c>
      <c r="D6" s="26">
        <f>(B6*C6)</f>
        <v>0</v>
      </c>
      <c r="E6" s="38">
        <f>(B6*J3)</f>
        <v>2.5139662972257528E-2</v>
      </c>
      <c r="G6" s="38"/>
      <c r="M6" t="s">
        <v>11</v>
      </c>
      <c r="N6" s="19">
        <f>($B$13/5)</f>
        <v>1.8681815620000002</v>
      </c>
      <c r="O6" s="35">
        <f>($C$5*Params!K8)</f>
        <v>7.1418695478700056E-2</v>
      </c>
      <c r="P6" s="38">
        <f>(O6*N6)</f>
        <v>0.13342309007540021</v>
      </c>
      <c r="Q6" s="38">
        <f>N6*$J$3</f>
        <v>0.19597565026509403</v>
      </c>
    </row>
    <row r="7" spans="2:17">
      <c r="C7" s="38"/>
      <c r="D7" s="38"/>
      <c r="E7" s="38"/>
      <c r="G7" s="38"/>
      <c r="N7" s="19">
        <f>($B$13/5)</f>
        <v>1.8681815620000002</v>
      </c>
      <c r="O7" s="35">
        <f>($C$5*Params!K9)</f>
        <v>8.7899932896861599E-2</v>
      </c>
      <c r="P7" s="38">
        <f>(O7*N7)</f>
        <v>0.16421303393895409</v>
      </c>
      <c r="Q7" s="38">
        <f>Q6*2</f>
        <v>0.39195130053018806</v>
      </c>
    </row>
    <row r="8" spans="2:17">
      <c r="C8" s="38"/>
      <c r="D8" s="38"/>
      <c r="E8" s="38"/>
      <c r="G8" s="38"/>
      <c r="N8" s="19">
        <f>($B$13/5)</f>
        <v>1.8681815620000002</v>
      </c>
      <c r="O8" s="35">
        <f>($C$5*Params!K10)</f>
        <v>0.12086240773318471</v>
      </c>
      <c r="P8" s="38">
        <f>(O8*N8)</f>
        <v>0.22579292166606191</v>
      </c>
      <c r="Q8" s="38">
        <f>Q6*3</f>
        <v>0.58792695079528212</v>
      </c>
    </row>
    <row r="9" spans="2:17">
      <c r="C9" s="38"/>
      <c r="D9" s="38"/>
      <c r="E9" s="38"/>
      <c r="G9" s="38"/>
      <c r="N9" s="19">
        <f>($B$13/5)</f>
        <v>1.8681815620000002</v>
      </c>
      <c r="O9" s="35">
        <f>($C$5*Params!K11)</f>
        <v>0.219749832242154</v>
      </c>
      <c r="P9" s="38">
        <f>(O9*N9)</f>
        <v>0.41053258484738525</v>
      </c>
      <c r="Q9" s="38">
        <f>Q6*4</f>
        <v>0.78390260106037613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0.93396163052780157</v>
      </c>
    </row>
    <row r="12" spans="2:17">
      <c r="C12" s="38"/>
      <c r="D12" s="38"/>
      <c r="E12" s="38"/>
      <c r="F12" t="s">
        <v>9</v>
      </c>
      <c r="G12" s="38">
        <f>(D13/B13)</f>
        <v>5.3527987875516776E-2</v>
      </c>
    </row>
    <row r="13" spans="2:17">
      <c r="B13">
        <f>(SUM(B5:B12))</f>
        <v>9.3409078100000009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27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27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6.0035508583118791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11.635710773852971</v>
      </c>
      <c r="K4" s="4">
        <f>(J4/D10-1)</f>
        <v>0.10186655055425842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2.5340599999999999E-3</v>
      </c>
      <c r="C6" s="40">
        <v>0</v>
      </c>
      <c r="D6" s="40">
        <f>(B6*C6)</f>
        <v>0</v>
      </c>
      <c r="E6" s="38">
        <f>(B6*J3)</f>
        <v>1.5213358088013799E-2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5.4485280956137432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1.9381381199999999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L25" sqref="L22:M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0.63676644116324554</v>
      </c>
      <c r="M3" t="s">
        <v>4</v>
      </c>
      <c r="N3" s="19">
        <f>(INDEX(N5:N14,MATCH(MAX(O6:O7),O5:O14,0))/0.9)</f>
        <v>11.461747118518522</v>
      </c>
      <c r="O3" s="37">
        <f>(MAX(O6:O7)*0.85)</f>
        <v>0.48540838895304461</v>
      </c>
      <c r="P3" s="38">
        <f>(O3*N3)</f>
        <v>5.5636282033872773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19.705830989864733</v>
      </c>
      <c r="K4" s="4">
        <f>(J4/D14-1)</f>
        <v>7.4278414225486618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54.353991620000002</v>
      </c>
      <c r="S5" s="38">
        <f>(T5/R5)</f>
        <v>0.35140013512773915</v>
      </c>
      <c r="T5" s="38">
        <f>(SUM(D5:D7))</f>
        <v>19.100000000000001</v>
      </c>
    </row>
    <row r="6" spans="2:21">
      <c r="B6" s="20">
        <v>0.77898014999999998</v>
      </c>
      <c r="C6" s="40">
        <v>0</v>
      </c>
      <c r="D6" s="40">
        <f>(B6*C6)</f>
        <v>0</v>
      </c>
      <c r="E6" s="38">
        <f>(B6*J3)</f>
        <v>0.49602841785231117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10.31557240666667</v>
      </c>
      <c r="O7" s="38">
        <f>($C$5*Params!K9)</f>
        <v>0.57106869288593487</v>
      </c>
      <c r="P7" s="38">
        <f>(O7*N7)</f>
        <v>5.8909004506453524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10.31557240666667</v>
      </c>
      <c r="O8" s="38">
        <f>($C$5*Params!K10)</f>
        <v>0.78521945271816052</v>
      </c>
      <c r="P8" s="38">
        <f>(O8*N8)</f>
        <v>8.0999881196373611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10.31557240666667</v>
      </c>
      <c r="O9" s="38">
        <f>($C$5*Params!K11)</f>
        <v>1.4276717322148371</v>
      </c>
      <c r="P9" s="38">
        <f>(O9*N9)</f>
        <v>14.72725112661338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33.770837056896092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7.5555104710392271E-2</v>
      </c>
    </row>
    <row r="14" spans="2:21">
      <c r="B14" s="19">
        <f>(SUM(B5:B13))</f>
        <v>30.946717220000011</v>
      </c>
      <c r="D14" s="38">
        <f>(SUM(D5:D13))</f>
        <v>2.3381824600000005</v>
      </c>
    </row>
    <row r="18" spans="12:20">
      <c r="R18">
        <f>(SUM(R5:R17))</f>
        <v>30.946717220000011</v>
      </c>
      <c r="T18" s="38">
        <f>(SUM(T5:T17))</f>
        <v>2.3381824600000005</v>
      </c>
    </row>
    <row r="22" spans="12:20">
      <c r="L22" s="39"/>
    </row>
    <row r="25" spans="12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8" sqref="P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0.16338325773736409</v>
      </c>
      <c r="M3" t="s">
        <v>4</v>
      </c>
      <c r="N3" s="29">
        <f>(INDEX(N5:N29,MATCH(MAX(O6:O8),O5:O29,0))/0.9)</f>
        <v>17.499576300000001</v>
      </c>
      <c r="O3" s="37">
        <f>(MAX(O6:O8)*0.85)</f>
        <v>0.11792713112298792</v>
      </c>
      <c r="P3" s="38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4.4011082922793001</v>
      </c>
      <c r="K4" s="4">
        <f>(J4/D14-1)</f>
        <v>-7.7364967899175463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Q8" t="s">
        <v>12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4*($R$5+$R$7)/5+B12-N7-N6</f>
        <v>13.415354599999992</v>
      </c>
      <c r="O9" s="38">
        <f>($C$5*Params!K11)</f>
        <v>0.25225054785665862</v>
      </c>
      <c r="P9" s="38">
        <f>(O9*N9)</f>
        <v>3.3840305475413435</v>
      </c>
      <c r="R9" s="24">
        <f>B12</f>
        <v>-15.856236790000001</v>
      </c>
      <c r="S9" s="38">
        <f>T9/R9</f>
        <v>0.13886598876907916</v>
      </c>
      <c r="T9" s="38">
        <f>D12</f>
        <v>-2.201892</v>
      </c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B12" s="19">
        <v>-15.856236790000001</v>
      </c>
      <c r="C12" s="35">
        <f>D12/B12</f>
        <v>0.13886598876907916</v>
      </c>
      <c r="D12" s="38">
        <v>-2.201892</v>
      </c>
      <c r="N12" s="29"/>
      <c r="O12" s="38"/>
      <c r="P12" s="38"/>
      <c r="R12" s="24"/>
      <c r="S12" s="38"/>
      <c r="T12" s="38"/>
    </row>
    <row r="13" spans="2:20">
      <c r="C13" s="38"/>
      <c r="D13" s="38"/>
      <c r="F13" t="s">
        <v>9</v>
      </c>
      <c r="G13" s="38">
        <f>(D14/B14)</f>
        <v>-2.4253445497353809E-2</v>
      </c>
      <c r="O13" s="38"/>
      <c r="P13" s="38">
        <f>(SUM(P6:P9))</f>
        <v>7.8466350134638709</v>
      </c>
      <c r="R13" s="24"/>
      <c r="S13" s="38"/>
      <c r="T13" s="38"/>
    </row>
    <row r="14" spans="2:20">
      <c r="B14" s="19">
        <f>(SUM(B5:B13))</f>
        <v>26.937327320000005</v>
      </c>
      <c r="C14" s="38"/>
      <c r="D14" s="38">
        <f>(SUM(D5:D13))</f>
        <v>-0.65332299999999988</v>
      </c>
      <c r="O14" s="38"/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2:22">
      <c r="R17" s="24"/>
      <c r="S17" s="38"/>
      <c r="T17" s="38"/>
    </row>
    <row r="18" spans="12:22">
      <c r="R18" s="24"/>
      <c r="S18" s="38"/>
      <c r="T18" s="38"/>
    </row>
    <row r="19" spans="12:22">
      <c r="R19" s="24"/>
      <c r="S19" s="38"/>
      <c r="T19" s="38"/>
    </row>
    <row r="20" spans="12:22">
      <c r="R20" s="24"/>
      <c r="S20" s="38"/>
      <c r="T20" s="38"/>
    </row>
    <row r="21" spans="12:22">
      <c r="R21" s="24"/>
      <c r="S21" s="38"/>
      <c r="T21" s="38"/>
    </row>
    <row r="22" spans="12:22">
      <c r="R22" s="24"/>
      <c r="S22" s="38"/>
      <c r="T22" s="38"/>
    </row>
    <row r="23" spans="12:22">
      <c r="R23" s="24"/>
      <c r="S23" s="38"/>
      <c r="T23" s="38"/>
    </row>
    <row r="24" spans="12:22">
      <c r="R24" s="24"/>
      <c r="S24" s="38"/>
      <c r="T24" s="38"/>
      <c r="V24" s="39"/>
    </row>
    <row r="26" spans="12:22">
      <c r="S26" s="38"/>
      <c r="T26" s="38"/>
    </row>
    <row r="27" spans="12:22">
      <c r="L27" s="39"/>
      <c r="M27" s="39"/>
      <c r="S27" s="38"/>
      <c r="T27" s="38"/>
    </row>
    <row r="28" spans="12:22">
      <c r="S28" s="38"/>
      <c r="T28" s="38"/>
    </row>
    <row r="29" spans="12:22">
      <c r="S29" s="38"/>
      <c r="T29" s="38"/>
    </row>
    <row r="30" spans="12:22">
      <c r="S30" s="38"/>
      <c r="T30" s="38"/>
    </row>
    <row r="31" spans="12:22">
      <c r="S31" s="38"/>
      <c r="T31" s="38"/>
    </row>
    <row r="32" spans="12:22">
      <c r="S32" s="38"/>
      <c r="T32" s="38"/>
    </row>
    <row r="33" spans="18:23">
      <c r="R33" s="24">
        <f>(SUM(R5:R31))</f>
        <v>26.937327320000005</v>
      </c>
      <c r="S33" s="38"/>
      <c r="T33" s="38">
        <f>(SUM(T5:T31))</f>
        <v>-0.65332299999999988</v>
      </c>
      <c r="V33" t="s">
        <v>9</v>
      </c>
      <c r="W33" s="38">
        <f>(T33/R33)</f>
        <v>-2.4253445497353809E-2</v>
      </c>
    </row>
    <row r="34" spans="18:23">
      <c r="S34" s="38"/>
      <c r="T34" s="38"/>
    </row>
    <row r="35" spans="18:23">
      <c r="S35" s="38"/>
      <c r="T35" s="38"/>
    </row>
    <row r="36" spans="18:23">
      <c r="S36" s="38"/>
      <c r="T36" s="38"/>
    </row>
    <row r="37" spans="18:23">
      <c r="S37" s="38"/>
      <c r="T37" s="38"/>
    </row>
  </sheetData>
  <conditionalFormatting sqref="C5 C9:C10 G13 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3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0.81836528808360287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2.3931611608833534</v>
      </c>
      <c r="K4" s="4">
        <f>(J4/D10-1)</f>
        <v>-0.2022796130388822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4.1745610651783508E-3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2.5022319024679032</v>
      </c>
      <c r="K4" s="4">
        <f>(J4/D10-1)</f>
        <v>-0.16592269917736557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F9" sqref="F9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0.53285728596276671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3.2417971563402803</v>
      </c>
      <c r="K4" s="4">
        <f>(J4/D9-1)</f>
        <v>-0.88770091202471479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O11:O14">
    <cfRule type="cellIs" dxfId="229" priority="7" operator="lessThan">
      <formula>$J$3</formula>
    </cfRule>
    <cfRule type="cellIs" dxfId="228" priority="8" operator="greaterThan">
      <formula>$J$3</formula>
    </cfRule>
  </conditionalFormatting>
  <conditionalFormatting sqref="O20:O23">
    <cfRule type="cellIs" dxfId="227" priority="5" operator="lessThan">
      <formula>$J$3</formula>
    </cfRule>
    <cfRule type="cellIs" dxfId="226" priority="6" operator="greaterThan">
      <formula>$J$3</formula>
    </cfRule>
  </conditionalFormatting>
  <conditionalFormatting sqref="O29:O32">
    <cfRule type="cellIs" dxfId="225" priority="3" operator="lessThan">
      <formula>$J$3</formula>
    </cfRule>
    <cfRule type="cellIs" dxfId="224" priority="4" operator="greaterThan">
      <formula>$J$3</formula>
    </cfRule>
  </conditionalFormatting>
  <conditionalFormatting sqref="N6">
    <cfRule type="cellIs" dxfId="223" priority="1" operator="lessThan">
      <formula>$J$3</formula>
    </cfRule>
    <cfRule type="cellIs" dxfId="222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R18" sqref="R18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720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6.5951268330872916E-3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0.80249999999999999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(SUM(K35:K43)-C77*J3+D77)</f>
        <v>9.4286331574990356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(-SUM(E9:E31))</f>
        <v>-7.0166399999999376</v>
      </c>
      <c r="K14" s="39">
        <f>(J14-M38-M39-M40-M42-L43)</f>
        <v>-58.916639999999937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-251.5880068425009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(J15+M47)</f>
        <v>-127.73800684250091</v>
      </c>
    </row>
    <row r="17" spans="2:18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8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  <c r="R18" s="39"/>
    </row>
    <row r="19" spans="2:18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8">
      <c r="B20" s="8" t="s">
        <v>44</v>
      </c>
      <c r="C20" s="40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8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8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8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8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8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8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8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8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8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8">
      <c r="B30" s="8" t="s">
        <v>44</v>
      </c>
      <c r="C30" s="38">
        <v>4</v>
      </c>
      <c r="D30" s="38">
        <v>0.01</v>
      </c>
      <c r="E30" s="38">
        <f>(C30+D30)</f>
        <v>4.01</v>
      </c>
      <c r="F30" s="9" t="s">
        <v>40</v>
      </c>
    </row>
    <row r="31" spans="2:18">
      <c r="B31" s="10" t="s">
        <v>44</v>
      </c>
      <c r="C31" s="42">
        <v>-8.4440000000000008</v>
      </c>
      <c r="D31" s="42">
        <f>-C31*6%</f>
        <v>0.50663999999999998</v>
      </c>
      <c r="E31" s="42">
        <f>(C31+D31)</f>
        <v>-7.9373600000000009</v>
      </c>
      <c r="F31" s="12" t="s">
        <v>47</v>
      </c>
    </row>
    <row r="33" spans="2:22">
      <c r="B33" s="5" t="s">
        <v>53</v>
      </c>
      <c r="C33" s="6"/>
      <c r="D33" s="6"/>
      <c r="E33" s="6"/>
      <c r="F33" s="6"/>
      <c r="G33" s="6"/>
      <c r="H33" s="6"/>
      <c r="I33" s="6"/>
      <c r="J33" s="6"/>
      <c r="K33" s="7"/>
      <c r="L33" t="s">
        <v>54</v>
      </c>
      <c r="M33" t="s">
        <v>55</v>
      </c>
      <c r="N33" t="s">
        <v>35</v>
      </c>
    </row>
    <row r="34" spans="2:22">
      <c r="B34" s="8"/>
      <c r="C34" t="s">
        <v>56</v>
      </c>
      <c r="D34" t="s">
        <v>57</v>
      </c>
      <c r="E34" t="s">
        <v>58</v>
      </c>
      <c r="F34" t="s">
        <v>59</v>
      </c>
      <c r="G34" t="s">
        <v>60</v>
      </c>
      <c r="H34" s="13" t="s">
        <v>61</v>
      </c>
      <c r="I34" t="s">
        <v>62</v>
      </c>
      <c r="J34" t="s">
        <v>5</v>
      </c>
      <c r="K34" s="9" t="s">
        <v>63</v>
      </c>
    </row>
    <row r="35" spans="2:22">
      <c r="B35" s="8" t="s">
        <v>39</v>
      </c>
      <c r="C35">
        <v>6.2539999999999996</v>
      </c>
      <c r="D35">
        <f>$H$2</f>
        <v>720</v>
      </c>
      <c r="E35">
        <f t="shared" ref="E35:E41" si="1">C35*D35</f>
        <v>4502.88</v>
      </c>
      <c r="F35" s="29">
        <f t="shared" ref="F35:F41" si="2">E35*$N$5</f>
        <v>3613.5612000000001</v>
      </c>
      <c r="G35" s="38">
        <v>3.5</v>
      </c>
      <c r="H35" s="30">
        <f>G51</f>
        <v>1.5615590400000001</v>
      </c>
      <c r="I35" s="39">
        <f t="shared" ref="I35:I42" si="3">((F35-H35*D35)*$J$3-G35)</f>
        <v>12.916844886292211</v>
      </c>
      <c r="J35">
        <v>1</v>
      </c>
      <c r="K35" s="43">
        <f t="shared" ref="K35:K41" si="4">I35*J35</f>
        <v>12.916844886292211</v>
      </c>
      <c r="L35" s="31">
        <v>37.799999999999997</v>
      </c>
      <c r="M35" s="31">
        <f t="shared" ref="M35:M41" si="5">L35*J35</f>
        <v>37.799999999999997</v>
      </c>
    </row>
    <row r="36" spans="2:22">
      <c r="B36" s="8" t="s">
        <v>42</v>
      </c>
      <c r="C36">
        <v>0.96599999999999997</v>
      </c>
      <c r="D36">
        <f>$H$2</f>
        <v>720</v>
      </c>
      <c r="E36">
        <f t="shared" si="1"/>
        <v>695.52</v>
      </c>
      <c r="F36" s="29">
        <f t="shared" si="2"/>
        <v>558.15480000000002</v>
      </c>
      <c r="G36" s="38">
        <v>3.5</v>
      </c>
      <c r="H36" s="30">
        <f>G52</f>
        <v>0.21337130135885166</v>
      </c>
      <c r="I36" s="39">
        <f t="shared" si="3"/>
        <v>-0.83209007390534184</v>
      </c>
      <c r="J36">
        <v>1</v>
      </c>
      <c r="K36" s="43">
        <f t="shared" si="4"/>
        <v>-0.83209007390534184</v>
      </c>
      <c r="L36" s="31">
        <v>10</v>
      </c>
      <c r="M36" s="31">
        <f t="shared" si="5"/>
        <v>10</v>
      </c>
    </row>
    <row r="37" spans="2:22">
      <c r="B37" s="8" t="s">
        <v>44</v>
      </c>
      <c r="C37">
        <v>0.85099999999999998</v>
      </c>
      <c r="D37">
        <f>$H$2</f>
        <v>720</v>
      </c>
      <c r="E37">
        <f t="shared" si="1"/>
        <v>612.72</v>
      </c>
      <c r="F37" s="29">
        <f t="shared" si="2"/>
        <v>491.70780000000002</v>
      </c>
      <c r="G37" s="38">
        <v>3.5</v>
      </c>
      <c r="H37" s="30">
        <f>G53</f>
        <v>0.18479602162162162</v>
      </c>
      <c r="I37" s="39">
        <f t="shared" si="3"/>
        <v>-1.1346269987897464</v>
      </c>
      <c r="J37">
        <v>1</v>
      </c>
      <c r="K37" s="43">
        <f t="shared" si="4"/>
        <v>-1.1346269987897464</v>
      </c>
      <c r="L37" s="31">
        <v>7.5</v>
      </c>
      <c r="M37" s="31">
        <f t="shared" si="5"/>
        <v>7.5</v>
      </c>
    </row>
    <row r="38" spans="2:22">
      <c r="B38" s="8" t="s">
        <v>44</v>
      </c>
      <c r="C38">
        <v>0.85099999999999998</v>
      </c>
      <c r="D38">
        <f>$H$2-34</f>
        <v>686</v>
      </c>
      <c r="E38">
        <f t="shared" si="1"/>
        <v>583.78599999999994</v>
      </c>
      <c r="F38" s="29">
        <f t="shared" si="2"/>
        <v>468.48826499999996</v>
      </c>
      <c r="G38" s="38">
        <v>0</v>
      </c>
      <c r="H38" s="30">
        <f>G53</f>
        <v>0.18479602162162162</v>
      </c>
      <c r="I38" s="39">
        <f t="shared" si="3"/>
        <v>2.2536748317086577</v>
      </c>
      <c r="J38">
        <v>3</v>
      </c>
      <c r="K38" s="43">
        <f t="shared" si="4"/>
        <v>6.761024495125973</v>
      </c>
      <c r="L38" s="31">
        <f>L37</f>
        <v>7.5</v>
      </c>
      <c r="M38" s="31">
        <f t="shared" si="5"/>
        <v>22.5</v>
      </c>
    </row>
    <row r="39" spans="2:22">
      <c r="B39" s="8" t="s">
        <v>44</v>
      </c>
      <c r="C39">
        <v>0.85099999999999998</v>
      </c>
      <c r="D39">
        <f>$H$2-34-58</f>
        <v>628</v>
      </c>
      <c r="E39">
        <f t="shared" si="1"/>
        <v>534.428</v>
      </c>
      <c r="F39" s="29">
        <f t="shared" si="2"/>
        <v>428.87846999999999</v>
      </c>
      <c r="G39" s="38">
        <v>0</v>
      </c>
      <c r="H39" s="30">
        <f>H38</f>
        <v>0.18479602162162162</v>
      </c>
      <c r="I39" s="39">
        <f t="shared" si="3"/>
        <v>2.0631308955000542</v>
      </c>
      <c r="J39">
        <v>1</v>
      </c>
      <c r="K39" s="43">
        <f t="shared" si="4"/>
        <v>2.0631308955000542</v>
      </c>
      <c r="L39" s="31">
        <f>L38</f>
        <v>7.5</v>
      </c>
      <c r="M39" s="31">
        <f t="shared" si="5"/>
        <v>7.5</v>
      </c>
    </row>
    <row r="40" spans="2:22">
      <c r="B40" s="8" t="s">
        <v>44</v>
      </c>
      <c r="C40">
        <v>0.85099999999999998</v>
      </c>
      <c r="D40">
        <f>$H$2-140</f>
        <v>580</v>
      </c>
      <c r="E40">
        <f t="shared" si="1"/>
        <v>493.58</v>
      </c>
      <c r="F40" s="29">
        <f t="shared" si="2"/>
        <v>396.09794999999997</v>
      </c>
      <c r="G40" s="38">
        <v>0</v>
      </c>
      <c r="H40" s="30">
        <f>H39</f>
        <v>0.18479602162162162</v>
      </c>
      <c r="I40" s="39">
        <f t="shared" si="3"/>
        <v>1.9054393620860373</v>
      </c>
      <c r="J40">
        <v>1</v>
      </c>
      <c r="K40" s="43">
        <f t="shared" si="4"/>
        <v>1.9054393620860373</v>
      </c>
      <c r="L40" s="31">
        <f>L39</f>
        <v>7.5</v>
      </c>
      <c r="M40" s="31">
        <f t="shared" si="5"/>
        <v>7.5</v>
      </c>
    </row>
    <row r="41" spans="2:22">
      <c r="B41" s="15" t="s">
        <v>42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44">
        <v>0</v>
      </c>
      <c r="H41" s="32">
        <f>H36</f>
        <v>0.21337130135885166</v>
      </c>
      <c r="I41" s="44">
        <f t="shared" si="3"/>
        <v>0.25938013170364732</v>
      </c>
      <c r="J41" s="16">
        <v>1</v>
      </c>
      <c r="K41" s="45">
        <f t="shared" si="4"/>
        <v>0.25938013170364732</v>
      </c>
      <c r="L41" s="33">
        <v>0</v>
      </c>
      <c r="M41" s="33">
        <f t="shared" si="5"/>
        <v>0</v>
      </c>
      <c r="N41" t="s">
        <v>64</v>
      </c>
    </row>
    <row r="42" spans="2:22">
      <c r="B42" s="15" t="s">
        <v>44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44">
        <v>0</v>
      </c>
      <c r="H42" s="32">
        <f>(H38)</f>
        <v>0.18479602162162162</v>
      </c>
      <c r="I42" s="44">
        <f t="shared" si="3"/>
        <v>1.4455057229618216</v>
      </c>
      <c r="J42" s="16">
        <v>1</v>
      </c>
      <c r="K42" s="45">
        <f>(I42*J42)</f>
        <v>1.4455057229618216</v>
      </c>
      <c r="L42" s="33">
        <v>0</v>
      </c>
      <c r="M42" s="33">
        <f>(L42*J42)</f>
        <v>0</v>
      </c>
      <c r="N42" t="s">
        <v>64</v>
      </c>
    </row>
    <row r="43" spans="2:22">
      <c r="B43" s="8" t="s">
        <v>46</v>
      </c>
      <c r="H43" s="21"/>
      <c r="J43">
        <v>2</v>
      </c>
      <c r="K43" s="43"/>
      <c r="L43" s="31">
        <v>14.4</v>
      </c>
      <c r="M43" s="31">
        <f>L43*J43</f>
        <v>28.8</v>
      </c>
    </row>
    <row r="44" spans="2:22">
      <c r="B44" s="8" t="s">
        <v>65</v>
      </c>
      <c r="J44">
        <v>1</v>
      </c>
      <c r="K44" s="9"/>
      <c r="L44" s="31">
        <v>0.4</v>
      </c>
      <c r="M44" s="31">
        <f>(L44*J44)</f>
        <v>0.4</v>
      </c>
    </row>
    <row r="45" spans="2:22">
      <c r="B45" s="8" t="s">
        <v>66</v>
      </c>
      <c r="J45">
        <v>1</v>
      </c>
      <c r="K45" s="9"/>
      <c r="L45" s="31">
        <v>0.35</v>
      </c>
      <c r="M45" s="31">
        <f>(L45*J45)</f>
        <v>0.35</v>
      </c>
    </row>
    <row r="46" spans="2:22">
      <c r="B46" s="10" t="s">
        <v>67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1">
        <v>1.5</v>
      </c>
      <c r="M46" s="31">
        <f>(L46*J46)</f>
        <v>1.5</v>
      </c>
      <c r="V46" s="39"/>
    </row>
    <row r="47" spans="2:22">
      <c r="L47" t="s">
        <v>34</v>
      </c>
      <c r="M47" s="31">
        <f>(SUM(M34:M46))</f>
        <v>123.85</v>
      </c>
      <c r="O47" s="31">
        <f>(J13+SUM(G35:G41)-D77)</f>
        <v>1.4488811574990379</v>
      </c>
      <c r="P47">
        <f>(O47/J3)</f>
        <v>219.68965785920935</v>
      </c>
    </row>
    <row r="49" spans="2:7">
      <c r="B49" s="18" t="s">
        <v>61</v>
      </c>
      <c r="C49" s="6"/>
      <c r="D49" s="6"/>
      <c r="E49" s="6"/>
      <c r="F49" s="6"/>
      <c r="G49" s="7"/>
    </row>
    <row r="50" spans="2:7">
      <c r="B50" s="8"/>
      <c r="C50" t="s">
        <v>68</v>
      </c>
      <c r="D50" t="s">
        <v>69</v>
      </c>
      <c r="E50" t="s">
        <v>70</v>
      </c>
      <c r="F50" t="s">
        <v>71</v>
      </c>
      <c r="G50" s="9" t="s">
        <v>72</v>
      </c>
    </row>
    <row r="51" spans="2:7">
      <c r="B51" s="8" t="s">
        <v>39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34">
        <f>(C51*$J$4+D51*$J$5+E51*$J$6+F51*$J$7)</f>
        <v>1.5615590400000001</v>
      </c>
    </row>
    <row r="52" spans="2:7">
      <c r="B52" s="8" t="s">
        <v>42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34">
        <f>(C52*$J$4+D52*$J$5+E52*$J$6+F52*$J$7)</f>
        <v>0.21337130135885166</v>
      </c>
    </row>
    <row r="53" spans="2:7">
      <c r="B53" s="8" t="s">
        <v>44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34">
        <f>(C53*$J$4+D53*$J$5+E53*$J$6+F53*$J$7)</f>
        <v>0.18479602162162162</v>
      </c>
    </row>
    <row r="54" spans="2:7">
      <c r="B54" s="10" t="s">
        <v>46</v>
      </c>
      <c r="C54" s="11"/>
      <c r="D54" s="11"/>
      <c r="E54" s="11"/>
      <c r="F54" s="11"/>
      <c r="G54" s="12"/>
    </row>
    <row r="56" spans="2:7">
      <c r="B56" s="5" t="s">
        <v>73</v>
      </c>
      <c r="C56" s="6" t="s">
        <v>74</v>
      </c>
      <c r="D56" s="7" t="s">
        <v>75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6">
        <v>1.1399999999999999</v>
      </c>
      <c r="E60" s="47">
        <f t="shared" ref="E60:E67" si="6">D60/C60</f>
        <v>1.0039857823396298E-2</v>
      </c>
    </row>
    <row r="61" spans="2:7">
      <c r="B61" s="8"/>
      <c r="C61" s="19">
        <v>130.53974622000001</v>
      </c>
      <c r="D61" s="46">
        <v>1.1793119999999999</v>
      </c>
      <c r="E61" s="47">
        <f t="shared" si="6"/>
        <v>9.0341220520874389E-3</v>
      </c>
    </row>
    <row r="62" spans="2:7">
      <c r="B62" s="8"/>
      <c r="C62" s="19">
        <v>167.40487411999999</v>
      </c>
      <c r="D62" s="46">
        <v>1.05481</v>
      </c>
      <c r="E62" s="47">
        <f t="shared" si="6"/>
        <v>6.3009515436443378E-3</v>
      </c>
    </row>
    <row r="63" spans="2:7">
      <c r="B63" s="8"/>
      <c r="C63" s="19">
        <v>167.96827999999999</v>
      </c>
      <c r="D63" s="46">
        <f>1.0512-0.00017</f>
        <v>1.0510299999999999</v>
      </c>
      <c r="E63" s="47">
        <f t="shared" si="6"/>
        <v>6.2573123925541178E-3</v>
      </c>
    </row>
    <row r="64" spans="2:7">
      <c r="B64" s="8"/>
      <c r="C64" s="19">
        <v>123.66</v>
      </c>
      <c r="D64" s="46">
        <v>1.0489999999999999</v>
      </c>
      <c r="E64" s="47">
        <f t="shared" si="6"/>
        <v>8.4829370855571719E-3</v>
      </c>
    </row>
    <row r="65" spans="2:5">
      <c r="B65" s="8"/>
      <c r="C65" s="19">
        <v>149.5</v>
      </c>
      <c r="D65" s="46">
        <v>1.17</v>
      </c>
      <c r="E65" s="47">
        <f t="shared" si="6"/>
        <v>7.826086956521738E-3</v>
      </c>
    </row>
    <row r="66" spans="2:5">
      <c r="B66" s="8"/>
      <c r="C66" s="19">
        <v>170.62</v>
      </c>
      <c r="D66" s="46">
        <v>1.1579999999999999</v>
      </c>
      <c r="E66" s="47">
        <f t="shared" si="6"/>
        <v>6.7870120736138783E-3</v>
      </c>
    </row>
    <row r="67" spans="2:5">
      <c r="B67" s="8"/>
      <c r="C67" s="19">
        <v>192.66</v>
      </c>
      <c r="D67" s="46">
        <v>1.0900000000000001</v>
      </c>
      <c r="E67" s="47">
        <f t="shared" si="6"/>
        <v>5.6576352122910834E-3</v>
      </c>
    </row>
    <row r="68" spans="2:5">
      <c r="B68" s="8"/>
      <c r="C68" s="19">
        <v>257.33999999999997</v>
      </c>
      <c r="D68" s="46">
        <v>1.1299999999999999</v>
      </c>
      <c r="E68" s="47">
        <f t="shared" ref="E68:E74" si="7">(D68/C68)</f>
        <v>4.3910779513484108E-3</v>
      </c>
    </row>
    <row r="69" spans="2:5">
      <c r="B69" s="8"/>
      <c r="C69" s="19">
        <v>312.13</v>
      </c>
      <c r="D69" s="46">
        <v>0.82</v>
      </c>
      <c r="E69" s="47">
        <f t="shared" si="7"/>
        <v>2.6271104988306155E-3</v>
      </c>
    </row>
    <row r="70" spans="2:5">
      <c r="B70" s="8"/>
      <c r="C70" s="19">
        <v>352.46100000000001</v>
      </c>
      <c r="D70" s="46">
        <v>1.2074</v>
      </c>
      <c r="E70" s="47">
        <f t="shared" si="7"/>
        <v>3.4256272325165053E-3</v>
      </c>
    </row>
    <row r="71" spans="2:5">
      <c r="B71" s="8"/>
      <c r="C71" s="19">
        <v>263.04000000000002</v>
      </c>
      <c r="D71" s="46">
        <v>1.0588</v>
      </c>
      <c r="E71" s="47">
        <f t="shared" si="7"/>
        <v>4.0252433090024325E-3</v>
      </c>
    </row>
    <row r="72" spans="2:5">
      <c r="B72" s="8"/>
      <c r="C72" s="19">
        <v>359.00495999999998</v>
      </c>
      <c r="D72" s="46">
        <v>1.1194999999999999</v>
      </c>
      <c r="E72" s="47">
        <f t="shared" si="7"/>
        <v>3.1183413176241355E-3</v>
      </c>
    </row>
    <row r="73" spans="2:5">
      <c r="B73" s="8"/>
      <c r="C73" s="19">
        <v>327.91</v>
      </c>
      <c r="D73" s="46">
        <v>1.0785</v>
      </c>
      <c r="E73" s="47">
        <f t="shared" si="7"/>
        <v>3.2890122289652647E-3</v>
      </c>
    </row>
    <row r="74" spans="2:5">
      <c r="B74" s="8"/>
      <c r="C74" s="19">
        <v>925.39</v>
      </c>
      <c r="D74" s="46">
        <v>3.1734</v>
      </c>
      <c r="E74" s="47">
        <f t="shared" si="7"/>
        <v>3.4292568538670182E-3</v>
      </c>
    </row>
    <row r="75" spans="2:5">
      <c r="B75" s="8"/>
      <c r="C75" s="19">
        <v>109.44</v>
      </c>
      <c r="D75" s="46"/>
      <c r="E75" s="47"/>
    </row>
    <row r="76" spans="2:5">
      <c r="B76" s="10"/>
      <c r="C76" s="11"/>
      <c r="D76" s="12"/>
    </row>
    <row r="77" spans="2:5">
      <c r="B77" t="s">
        <v>34</v>
      </c>
      <c r="C77" s="19">
        <f>(SUM(C57:C76))</f>
        <v>4918.1354785700005</v>
      </c>
      <c r="D77" s="38">
        <f>(SUM(D57:D76))</f>
        <v>18.479751999999998</v>
      </c>
    </row>
  </sheetData>
  <conditionalFormatting sqref="L35">
    <cfRule type="cellIs" dxfId="221" priority="17" operator="lessThan">
      <formula>$C$5</formula>
    </cfRule>
    <cfRule type="cellIs" dxfId="220" priority="18" operator="greaterThan">
      <formula>$C$5</formula>
    </cfRule>
  </conditionalFormatting>
  <conditionalFormatting sqref="L36">
    <cfRule type="cellIs" dxfId="219" priority="15" operator="lessThan">
      <formula>$C$6</formula>
    </cfRule>
    <cfRule type="cellIs" dxfId="218" priority="16" operator="greaterThan">
      <formula>$C$6</formula>
    </cfRule>
  </conditionalFormatting>
  <conditionalFormatting sqref="L40">
    <cfRule type="cellIs" dxfId="217" priority="13" operator="lessThan">
      <formula>$C$20</formula>
    </cfRule>
    <cfRule type="cellIs" dxfId="216" priority="14" operator="greaterThan">
      <formula>$C$20</formula>
    </cfRule>
  </conditionalFormatting>
  <conditionalFormatting sqref="L39">
    <cfRule type="cellIs" dxfId="215" priority="11" operator="lessThan">
      <formula>$C$19</formula>
    </cfRule>
    <cfRule type="cellIs" dxfId="214" priority="12" operator="greaterThan">
      <formula>$C$19</formula>
    </cfRule>
  </conditionalFormatting>
  <conditionalFormatting sqref="L38">
    <cfRule type="cellIs" dxfId="213" priority="9" operator="lessThan">
      <formula>$C$17</formula>
    </cfRule>
    <cfRule type="cellIs" dxfId="212" priority="10" operator="greaterThan">
      <formula>$C$17</formula>
    </cfRule>
  </conditionalFormatting>
  <conditionalFormatting sqref="L37">
    <cfRule type="cellIs" dxfId="211" priority="7" operator="lessThan">
      <formula>$C$7</formula>
    </cfRule>
    <cfRule type="cellIs" dxfId="210" priority="8" operator="greaterThan">
      <formula>$C$7</formula>
    </cfRule>
  </conditionalFormatting>
  <conditionalFormatting sqref="L43">
    <cfRule type="cellIs" dxfId="209" priority="3" operator="lessThan">
      <formula>$C$27</formula>
    </cfRule>
    <cfRule type="cellIs" dxfId="208" priority="4" operator="greaterThan">
      <formula>$C$27</formula>
    </cfRule>
  </conditionalFormatting>
  <conditionalFormatting sqref="L44:L46">
    <cfRule type="cellIs" dxfId="207" priority="1" operator="lessThan">
      <formula>$C$7</formula>
    </cfRule>
    <cfRule type="cellIs" dxfId="20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33</v>
      </c>
    </row>
    <row r="4" spans="2:4">
      <c r="B4" t="s">
        <v>76</v>
      </c>
      <c r="C4" s="38">
        <f>(-308/3)</f>
        <v>-102.66666666666667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J21" sqref="J2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0.44599159286594009</v>
      </c>
      <c r="M3" t="s">
        <v>4</v>
      </c>
      <c r="N3" s="24">
        <f>(INDEX(N5:N21,MATCH(MAX(O6),O5:O21,0))/0.9)</f>
        <v>25.077777777777776</v>
      </c>
      <c r="O3" s="39">
        <f>(MAX(O6)*0.85)</f>
        <v>0.37971043972086843</v>
      </c>
      <c r="P3" s="35">
        <f>(O3*N3)</f>
        <v>9.5222940272222214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40.264144677170826</v>
      </c>
      <c r="K4" s="4">
        <f>(J4/D13-1)</f>
        <v>0.46374578383530185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0.70730855000000004</v>
      </c>
      <c r="C6" s="40">
        <v>0</v>
      </c>
      <c r="D6" s="40">
        <f>(B6*C6)</f>
        <v>0</v>
      </c>
      <c r="E6" s="38">
        <f>(B6*J3)</f>
        <v>0.31545366686219845</v>
      </c>
      <c r="M6" t="s">
        <v>11</v>
      </c>
      <c r="N6" s="1">
        <f>-B10</f>
        <v>22.57</v>
      </c>
      <c r="O6" s="38">
        <f>P6/N6</f>
        <v>0.44671816437749229</v>
      </c>
      <c r="P6" s="38">
        <f>-D10</f>
        <v>10.08242897</v>
      </c>
      <c r="Q6" t="s">
        <v>12</v>
      </c>
      <c r="R6" s="2">
        <f>(B6)</f>
        <v>0.70730855000000004</v>
      </c>
      <c r="S6" s="40">
        <v>0</v>
      </c>
      <c r="T6" s="40">
        <f>(D6)</f>
        <v>0</v>
      </c>
      <c r="U6" s="38">
        <f>(R6*J3)</f>
        <v>0.31545366686219845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2*($B$13-B10)/5-N6</f>
        <v>22.570021232000002</v>
      </c>
      <c r="O7" s="38">
        <f>($S$7*Params!K9)</f>
        <v>0.54208484443182947</v>
      </c>
      <c r="P7" s="38">
        <f>(O7*N7)</f>
        <v>12.234866448371809</v>
      </c>
      <c r="R7" s="29">
        <f>B7+B10</f>
        <v>86.933355330000012</v>
      </c>
      <c r="S7" s="38">
        <f>(T7/R7)</f>
        <v>0.33880302776989341</v>
      </c>
      <c r="T7" s="38">
        <f>D7+B10*0.3388</f>
        <v>29.453284000000004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18.056010616000002</v>
      </c>
      <c r="O8" s="38">
        <f>($C$7*Params!K10)</f>
        <v>0.74536528815970493</v>
      </c>
      <c r="P8" s="38">
        <f>(O8*N8)</f>
        <v>13.458323555809534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18.056010616000002</v>
      </c>
      <c r="O9" s="38">
        <f>($C$7*Params!K11)</f>
        <v>1.355209614835827</v>
      </c>
      <c r="P9" s="38">
        <f>(O9*N9)</f>
        <v>24.469679192380966</v>
      </c>
      <c r="R9" s="1">
        <f>B10-B10</f>
        <v>0</v>
      </c>
      <c r="S9" s="39">
        <v>0</v>
      </c>
      <c r="T9" s="39">
        <f>D10-B10*0.3388</f>
        <v>-2.4357129700000009</v>
      </c>
    </row>
    <row r="10" spans="2:21">
      <c r="B10" s="1">
        <v>-22.57</v>
      </c>
      <c r="C10" s="39">
        <f>D10/B10</f>
        <v>0.44671816437749229</v>
      </c>
      <c r="D10" s="38">
        <v>-10.08242897</v>
      </c>
      <c r="N10" s="1"/>
      <c r="P10" s="38"/>
    </row>
    <row r="11" spans="2:21">
      <c r="P11" s="38">
        <f>(SUM(P6:P9))</f>
        <v>60.245298166562307</v>
      </c>
    </row>
    <row r="12" spans="2:21">
      <c r="F12" t="s">
        <v>9</v>
      </c>
      <c r="G12" s="35">
        <f>(D13/B13)</f>
        <v>0.30469197437915368</v>
      </c>
    </row>
    <row r="13" spans="2:21">
      <c r="B13" s="1">
        <f>(SUM(B5:B12))</f>
        <v>90.280053080000016</v>
      </c>
      <c r="D13" s="38">
        <f>(SUM(D5:D12))</f>
        <v>27.507607620000002</v>
      </c>
      <c r="R13" s="1">
        <f>(SUM(R5:R12))</f>
        <v>90.280053080000016</v>
      </c>
      <c r="T13" s="38">
        <f>(SUM(T5:T12))</f>
        <v>27.507607620000002</v>
      </c>
    </row>
  </sheetData>
  <conditionalFormatting sqref="C5 C7 G12 S5 S7">
    <cfRule type="cellIs" dxfId="205" priority="19" operator="lessThan">
      <formula>$J$3</formula>
    </cfRule>
    <cfRule type="cellIs" dxfId="204" priority="20" operator="greaterThan">
      <formula>$J$3</formula>
    </cfRule>
  </conditionalFormatting>
  <conditionalFormatting sqref="O7:O9">
    <cfRule type="cellIs" dxfId="203" priority="15" operator="lessThan">
      <formula>$J$3</formula>
    </cfRule>
    <cfRule type="cellIs" dxfId="202" priority="16" operator="greaterThan">
      <formula>$J$3</formula>
    </cfRule>
  </conditionalFormatting>
  <conditionalFormatting sqref="C9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O3">
    <cfRule type="cellIs" dxfId="199" priority="1" operator="greaterThan">
      <formula>$J$3</formula>
    </cfRule>
    <cfRule type="cellIs" dxfId="198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0.1527869007497312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9.6717195279745578</v>
      </c>
      <c r="K4" s="4">
        <f>(J4/D14-1)</f>
        <v>-1.5687625233306912E-2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0.55921098000000002</v>
      </c>
      <c r="C6" s="40">
        <v>0</v>
      </c>
      <c r="D6" s="40">
        <f>(B6*C6)</f>
        <v>0</v>
      </c>
      <c r="E6" s="38">
        <f>(B6*J3)</f>
        <v>8.5440112499419921E-2</v>
      </c>
      <c r="M6" t="s">
        <v>11</v>
      </c>
      <c r="N6" s="29">
        <f>($B$14/5)</f>
        <v>12.660404106000001</v>
      </c>
      <c r="O6" s="38">
        <f>($C$5*Params!K8)</f>
        <v>0.21940472231459929</v>
      </c>
      <c r="P6" s="38">
        <f>(O6*N6)</f>
        <v>2.777752447267543</v>
      </c>
      <c r="R6" s="36">
        <f>(B6)</f>
        <v>0.55921098000000002</v>
      </c>
      <c r="S6" s="40">
        <v>0</v>
      </c>
      <c r="T6" s="40">
        <f>(D6)</f>
        <v>0</v>
      </c>
      <c r="U6" s="38">
        <f>(E6)</f>
        <v>8.5440112499419921E-2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12.660404106000001</v>
      </c>
      <c r="O7" s="38">
        <f>($C$5*Params!K9)</f>
        <v>0.27003658131027602</v>
      </c>
      <c r="P7" s="38">
        <f>(O7*N7)</f>
        <v>3.4187722427908218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12.660404106000001</v>
      </c>
      <c r="O8" s="38">
        <f>($C$5*Params!K10)</f>
        <v>0.37130029930162955</v>
      </c>
      <c r="P8" s="38">
        <f>(O8*N8)</f>
        <v>4.7008118338373803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12.660404106000001</v>
      </c>
      <c r="O9" s="38">
        <f>($C$5*Params!K11)</f>
        <v>0.67509145327569009</v>
      </c>
      <c r="P9" s="38">
        <f>(O9*N9)</f>
        <v>8.546930606977055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19.444267130872802</v>
      </c>
    </row>
    <row r="13" spans="2:21">
      <c r="F13" t="s">
        <v>9</v>
      </c>
      <c r="G13" s="38">
        <f>(D14/B14)</f>
        <v>0.15522196476087741</v>
      </c>
    </row>
    <row r="14" spans="2:21">
      <c r="B14" s="29">
        <f>(SUM(B5:B13))</f>
        <v>63.302020530000007</v>
      </c>
      <c r="D14" s="38">
        <f>(SUM(D5:D13))</f>
        <v>9.8258639999999993</v>
      </c>
    </row>
    <row r="17" spans="11:20">
      <c r="N17" s="29"/>
      <c r="R17" s="29">
        <f>(SUM(R5:R16))</f>
        <v>63.302020530000007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197" priority="13" operator="lessThan">
      <formula>$J$3</formula>
    </cfRule>
    <cfRule type="cellIs" dxfId="196" priority="14" operator="greaterThan">
      <formula>$J$3</formula>
    </cfRule>
  </conditionalFormatting>
  <conditionalFormatting sqref="C9:C10">
    <cfRule type="cellIs" dxfId="195" priority="11" operator="lessThan">
      <formula>$J$3</formula>
    </cfRule>
    <cfRule type="cellIs" dxfId="194" priority="12" operator="greaterThan">
      <formula>$J$3</formula>
    </cfRule>
  </conditionalFormatting>
  <conditionalFormatting sqref="O6:O9">
    <cfRule type="cellIs" dxfId="193" priority="9" operator="lessThan">
      <formula>$J$3</formula>
    </cfRule>
    <cfRule type="cellIs" dxfId="192" priority="10" operator="greaterThan">
      <formula>$J$3</formula>
    </cfRule>
  </conditionalFormatting>
  <conditionalFormatting sqref="S5 S7:S8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O6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3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2023-12-06T23:39:46Z</dcterms:modified>
</cp:coreProperties>
</file>