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33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D14" i="38"/>
  <c r="B14"/>
  <c r="G13"/>
  <c r="N9"/>
  <c r="N8"/>
  <c r="T7"/>
  <c r="R7"/>
  <c r="N7"/>
  <c r="C7"/>
  <c r="T6"/>
  <c r="S6"/>
  <c r="R6"/>
  <c r="P6"/>
  <c r="O6"/>
  <c r="O3" s="1"/>
  <c r="N6"/>
  <c r="E6"/>
  <c r="D6"/>
  <c r="T5"/>
  <c r="T18" s="1"/>
  <c r="R5"/>
  <c r="R18" s="1"/>
  <c r="C5"/>
  <c r="K4"/>
  <c r="J4"/>
  <c r="N3"/>
  <c r="B14" i="37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K4" s="1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T18" s="1"/>
  <c r="R5"/>
  <c r="R18" s="1"/>
  <c r="C5"/>
  <c r="O7" s="1"/>
  <c r="P7" s="1"/>
  <c r="P11" s="1"/>
  <c r="N3"/>
  <c r="B13" i="35"/>
  <c r="J4" s="1"/>
  <c r="N9"/>
  <c r="N8"/>
  <c r="N7"/>
  <c r="N6"/>
  <c r="Q6" s="1"/>
  <c r="E6"/>
  <c r="D6"/>
  <c r="D13" s="1"/>
  <c r="G12" s="1"/>
  <c r="C5"/>
  <c r="O9" s="1"/>
  <c r="P9" s="1"/>
  <c r="C44" i="34"/>
  <c r="C43"/>
  <c r="C42"/>
  <c r="D41"/>
  <c r="C41"/>
  <c r="C40"/>
  <c r="N39"/>
  <c r="D39"/>
  <c r="C39"/>
  <c r="D38"/>
  <c r="C38"/>
  <c r="C37"/>
  <c r="C36"/>
  <c r="C35"/>
  <c r="C34"/>
  <c r="B34"/>
  <c r="D33"/>
  <c r="C33" s="1"/>
  <c r="C32"/>
  <c r="C31"/>
  <c r="C30"/>
  <c r="R29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N26" s="1"/>
  <c r="C19"/>
  <c r="T18"/>
  <c r="R18"/>
  <c r="E18"/>
  <c r="T17"/>
  <c r="R17"/>
  <c r="P17"/>
  <c r="T29" s="1"/>
  <c r="N17"/>
  <c r="T13" s="1"/>
  <c r="C17"/>
  <c r="T16"/>
  <c r="S16" s="1"/>
  <c r="R16"/>
  <c r="O16"/>
  <c r="P16" s="1"/>
  <c r="N16"/>
  <c r="R26" s="1"/>
  <c r="C16"/>
  <c r="O9" s="1"/>
  <c r="P9" s="1"/>
  <c r="T15"/>
  <c r="S15"/>
  <c r="O26" s="1"/>
  <c r="P26" s="1"/>
  <c r="R15"/>
  <c r="O15"/>
  <c r="N15"/>
  <c r="P15" s="1"/>
  <c r="B15"/>
  <c r="E15" s="1"/>
  <c r="T14"/>
  <c r="S14"/>
  <c r="R14"/>
  <c r="O14"/>
  <c r="N14"/>
  <c r="P14" s="1"/>
  <c r="P19" s="1"/>
  <c r="B14"/>
  <c r="E14" s="1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P8"/>
  <c r="O8"/>
  <c r="C8"/>
  <c r="B8"/>
  <c r="T7"/>
  <c r="R7"/>
  <c r="P7"/>
  <c r="O7" s="1"/>
  <c r="N7"/>
  <c r="C7"/>
  <c r="T6"/>
  <c r="O6"/>
  <c r="N6"/>
  <c r="P6" s="1"/>
  <c r="P11" s="1"/>
  <c r="B6"/>
  <c r="R6" s="1"/>
  <c r="S5"/>
  <c r="D5"/>
  <c r="D46" s="1"/>
  <c r="G46" s="1"/>
  <c r="B5"/>
  <c r="B46" s="1"/>
  <c r="J4" s="1"/>
  <c r="K4" s="1"/>
  <c r="D10" i="33"/>
  <c r="G9" s="1"/>
  <c r="B10"/>
  <c r="N9"/>
  <c r="N8"/>
  <c r="O7"/>
  <c r="P7" s="1"/>
  <c r="N7"/>
  <c r="N6"/>
  <c r="C5"/>
  <c r="O9" s="1"/>
  <c r="P9" s="1"/>
  <c r="K4"/>
  <c r="J4"/>
  <c r="D13" i="32"/>
  <c r="B13"/>
  <c r="G12"/>
  <c r="N9"/>
  <c r="N8"/>
  <c r="N7"/>
  <c r="N6"/>
  <c r="E6"/>
  <c r="D6"/>
  <c r="C5"/>
  <c r="O8" s="1"/>
  <c r="P8" s="1"/>
  <c r="J4"/>
  <c r="K4" s="1"/>
  <c r="B14" i="31"/>
  <c r="N9" s="1"/>
  <c r="P8"/>
  <c r="O8" s="1"/>
  <c r="N8"/>
  <c r="C8"/>
  <c r="P7"/>
  <c r="N7"/>
  <c r="D7"/>
  <c r="C7" s="1"/>
  <c r="U6"/>
  <c r="R6"/>
  <c r="R17" s="1"/>
  <c r="N6"/>
  <c r="P6" s="1"/>
  <c r="E6"/>
  <c r="D6"/>
  <c r="D14" s="1"/>
  <c r="G13" s="1"/>
  <c r="T5"/>
  <c r="S5"/>
  <c r="R5"/>
  <c r="C5"/>
  <c r="O9" s="1"/>
  <c r="P9" s="1"/>
  <c r="J4"/>
  <c r="K4" s="1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O8" s="1"/>
  <c r="N8"/>
  <c r="C8"/>
  <c r="T7"/>
  <c r="R7"/>
  <c r="N7"/>
  <c r="E7"/>
  <c r="U6"/>
  <c r="T6"/>
  <c r="S6"/>
  <c r="O17" s="1"/>
  <c r="P17" s="1"/>
  <c r="R6"/>
  <c r="P6"/>
  <c r="N6"/>
  <c r="C6"/>
  <c r="T5"/>
  <c r="T28" s="1"/>
  <c r="R5"/>
  <c r="R28" s="1"/>
  <c r="C5"/>
  <c r="O9" s="1"/>
  <c r="P9" s="1"/>
  <c r="K4"/>
  <c r="J4"/>
  <c r="B13" i="29"/>
  <c r="N9" s="1"/>
  <c r="C11"/>
  <c r="R10"/>
  <c r="D10"/>
  <c r="T10" s="1"/>
  <c r="T9"/>
  <c r="S9" s="1"/>
  <c r="R9"/>
  <c r="C9"/>
  <c r="R8"/>
  <c r="D8"/>
  <c r="T8" s="1"/>
  <c r="S8" s="1"/>
  <c r="C8"/>
  <c r="R7"/>
  <c r="R30" s="1"/>
  <c r="P7"/>
  <c r="O7"/>
  <c r="N7"/>
  <c r="E7"/>
  <c r="D7"/>
  <c r="T7" s="1"/>
  <c r="U6"/>
  <c r="T6"/>
  <c r="P6"/>
  <c r="N6"/>
  <c r="N8" s="1"/>
  <c r="E6"/>
  <c r="D6"/>
  <c r="D13" s="1"/>
  <c r="G11" s="1"/>
  <c r="T5"/>
  <c r="T30" s="1"/>
  <c r="S5"/>
  <c r="R5"/>
  <c r="C5"/>
  <c r="O9" s="1"/>
  <c r="P9" s="1"/>
  <c r="J4"/>
  <c r="K4" s="1"/>
  <c r="B10" i="28"/>
  <c r="N9" s="1"/>
  <c r="N7"/>
  <c r="E6"/>
  <c r="D6"/>
  <c r="D10" s="1"/>
  <c r="G9" s="1"/>
  <c r="C5"/>
  <c r="O9" s="1"/>
  <c r="P9" s="1"/>
  <c r="J4"/>
  <c r="K4" s="1"/>
  <c r="N17" i="27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E37" i="26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S26" s="1"/>
  <c r="R26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B9"/>
  <c r="R9" s="1"/>
  <c r="S9" s="1"/>
  <c r="R8"/>
  <c r="S8" s="1"/>
  <c r="C8"/>
  <c r="T7"/>
  <c r="R7"/>
  <c r="D7"/>
  <c r="R6"/>
  <c r="T6" s="1"/>
  <c r="O6"/>
  <c r="D6"/>
  <c r="R5"/>
  <c r="R39" s="1"/>
  <c r="D5"/>
  <c r="D39" s="1"/>
  <c r="O3"/>
  <c r="C21" i="25"/>
  <c r="O6" s="1"/>
  <c r="D20"/>
  <c r="D19"/>
  <c r="D18"/>
  <c r="D17"/>
  <c r="D16"/>
  <c r="D15"/>
  <c r="D14"/>
  <c r="D13"/>
  <c r="D12"/>
  <c r="D11"/>
  <c r="D10"/>
  <c r="D9"/>
  <c r="D8"/>
  <c r="C7"/>
  <c r="B7"/>
  <c r="B23" s="1"/>
  <c r="J4" s="1"/>
  <c r="N6"/>
  <c r="P6" s="1"/>
  <c r="E6"/>
  <c r="D6"/>
  <c r="D23" s="1"/>
  <c r="D5"/>
  <c r="N3"/>
  <c r="P3" s="1"/>
  <c r="B15" i="24"/>
  <c r="C13"/>
  <c r="C12"/>
  <c r="C11"/>
  <c r="C10"/>
  <c r="C9"/>
  <c r="T8"/>
  <c r="R8"/>
  <c r="U8" s="1"/>
  <c r="C8"/>
  <c r="T7"/>
  <c r="S7" s="1"/>
  <c r="R7"/>
  <c r="R21" s="1"/>
  <c r="C7"/>
  <c r="O9" s="1"/>
  <c r="R6"/>
  <c r="N6"/>
  <c r="E6"/>
  <c r="D6"/>
  <c r="D15" s="1"/>
  <c r="G14" s="1"/>
  <c r="T5"/>
  <c r="S5"/>
  <c r="R5"/>
  <c r="N9" s="1"/>
  <c r="C5"/>
  <c r="J4"/>
  <c r="K4" s="1"/>
  <c r="B11" i="23"/>
  <c r="R9"/>
  <c r="R22" s="1"/>
  <c r="D9"/>
  <c r="T9" s="1"/>
  <c r="T8"/>
  <c r="R8"/>
  <c r="P8"/>
  <c r="O8" s="1"/>
  <c r="N8"/>
  <c r="N9" s="1"/>
  <c r="C8"/>
  <c r="T7"/>
  <c r="R7"/>
  <c r="P7"/>
  <c r="O7"/>
  <c r="N7"/>
  <c r="D7"/>
  <c r="C7"/>
  <c r="R6"/>
  <c r="P6"/>
  <c r="N6"/>
  <c r="E6"/>
  <c r="D6"/>
  <c r="D11" s="1"/>
  <c r="G10" s="1"/>
  <c r="T5"/>
  <c r="S5"/>
  <c r="R5"/>
  <c r="C5"/>
  <c r="O9" s="1"/>
  <c r="P9" s="1"/>
  <c r="J4"/>
  <c r="B10" i="22"/>
  <c r="N9" s="1"/>
  <c r="N7"/>
  <c r="D7"/>
  <c r="C7"/>
  <c r="P6"/>
  <c r="O6"/>
  <c r="N3" s="1"/>
  <c r="N6"/>
  <c r="E6"/>
  <c r="D6"/>
  <c r="D10" s="1"/>
  <c r="G9" s="1"/>
  <c r="C5"/>
  <c r="O9" s="1"/>
  <c r="P9" s="1"/>
  <c r="J4"/>
  <c r="K4" s="1"/>
  <c r="O3"/>
  <c r="P3" s="1"/>
  <c r="D10" i="21"/>
  <c r="B10"/>
  <c r="N9"/>
  <c r="G9"/>
  <c r="N8"/>
  <c r="N7"/>
  <c r="N6"/>
  <c r="C5"/>
  <c r="O9" s="1"/>
  <c r="P9" s="1"/>
  <c r="J4"/>
  <c r="K4" s="1"/>
  <c r="B13" i="20"/>
  <c r="J4" s="1"/>
  <c r="D11"/>
  <c r="C11"/>
  <c r="T10"/>
  <c r="R10"/>
  <c r="C10"/>
  <c r="T9"/>
  <c r="R9"/>
  <c r="N9"/>
  <c r="C9"/>
  <c r="T8"/>
  <c r="R8"/>
  <c r="P8"/>
  <c r="O8" s="1"/>
  <c r="N8"/>
  <c r="C8"/>
  <c r="T7"/>
  <c r="R7"/>
  <c r="P7"/>
  <c r="O7" s="1"/>
  <c r="N7"/>
  <c r="C7"/>
  <c r="T6"/>
  <c r="S6" s="1"/>
  <c r="R6"/>
  <c r="P6"/>
  <c r="O6"/>
  <c r="N6"/>
  <c r="E6"/>
  <c r="D6"/>
  <c r="D13" s="1"/>
  <c r="G12" s="1"/>
  <c r="T5"/>
  <c r="R5"/>
  <c r="R25" s="1"/>
  <c r="C5"/>
  <c r="K4"/>
  <c r="N3"/>
  <c r="D14" i="19"/>
  <c r="G13" s="1"/>
  <c r="B14"/>
  <c r="C12"/>
  <c r="D11"/>
  <c r="C11"/>
  <c r="C10"/>
  <c r="T9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K4"/>
  <c r="J4"/>
  <c r="O9" i="18"/>
  <c r="B9"/>
  <c r="C9" s="1"/>
  <c r="T8"/>
  <c r="R8"/>
  <c r="O8"/>
  <c r="C8"/>
  <c r="B8"/>
  <c r="B13" s="1"/>
  <c r="T7"/>
  <c r="R7"/>
  <c r="O7"/>
  <c r="D7"/>
  <c r="C7"/>
  <c r="R6"/>
  <c r="P6"/>
  <c r="N6"/>
  <c r="E6"/>
  <c r="D6"/>
  <c r="D13" s="1"/>
  <c r="G12" s="1"/>
  <c r="T5"/>
  <c r="S5"/>
  <c r="R5"/>
  <c r="R22" s="1"/>
  <c r="C13" i="17"/>
  <c r="C12"/>
  <c r="D11"/>
  <c r="C11"/>
  <c r="C10"/>
  <c r="T9"/>
  <c r="R9"/>
  <c r="B9"/>
  <c r="D9" s="1"/>
  <c r="D8" s="1"/>
  <c r="B8"/>
  <c r="B15" s="1"/>
  <c r="T7"/>
  <c r="S7" s="1"/>
  <c r="R7"/>
  <c r="C7"/>
  <c r="T6"/>
  <c r="S6"/>
  <c r="R6"/>
  <c r="P6"/>
  <c r="O6"/>
  <c r="N6"/>
  <c r="E6"/>
  <c r="D6"/>
  <c r="D15" s="1"/>
  <c r="G14" s="1"/>
  <c r="T5"/>
  <c r="R5"/>
  <c r="C5"/>
  <c r="O7" s="1"/>
  <c r="O3"/>
  <c r="N3"/>
  <c r="B13" i="16"/>
  <c r="N9"/>
  <c r="N8"/>
  <c r="N7"/>
  <c r="N6"/>
  <c r="E6"/>
  <c r="D6"/>
  <c r="D13" s="1"/>
  <c r="G12" s="1"/>
  <c r="C5"/>
  <c r="O8" s="1"/>
  <c r="P8" s="1"/>
  <c r="J4"/>
  <c r="K4" s="1"/>
  <c r="B17" i="15"/>
  <c r="C15"/>
  <c r="D14"/>
  <c r="C14"/>
  <c r="C13"/>
  <c r="C12"/>
  <c r="C11"/>
  <c r="T10"/>
  <c r="R10"/>
  <c r="E10"/>
  <c r="S9"/>
  <c r="O15" s="1"/>
  <c r="R9"/>
  <c r="N17" s="1"/>
  <c r="D9"/>
  <c r="S8"/>
  <c r="O9" s="1"/>
  <c r="P9" s="1"/>
  <c r="R8"/>
  <c r="N9" s="1"/>
  <c r="N8"/>
  <c r="J8"/>
  <c r="J9" s="1"/>
  <c r="E8"/>
  <c r="S7"/>
  <c r="R7"/>
  <c r="T7" s="1"/>
  <c r="O7"/>
  <c r="P7" s="1"/>
  <c r="N7"/>
  <c r="E7"/>
  <c r="S6"/>
  <c r="R6"/>
  <c r="T6" s="1"/>
  <c r="O6"/>
  <c r="P6" s="1"/>
  <c r="N6"/>
  <c r="D6"/>
  <c r="R5"/>
  <c r="R37" s="1"/>
  <c r="D5"/>
  <c r="D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R15" s="1"/>
  <c r="C5"/>
  <c r="O9" s="1"/>
  <c r="P9" s="1"/>
  <c r="J4"/>
  <c r="K4" s="1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T5"/>
  <c r="T19" s="1"/>
  <c r="R5"/>
  <c r="R19" s="1"/>
  <c r="C5"/>
  <c r="O6" s="1"/>
  <c r="P6" s="1"/>
  <c r="J4"/>
  <c r="K4" s="1"/>
  <c r="B14" i="12"/>
  <c r="N9"/>
  <c r="N8"/>
  <c r="N7"/>
  <c r="D7"/>
  <c r="N6"/>
  <c r="E6"/>
  <c r="D6"/>
  <c r="D14" s="1"/>
  <c r="G13" s="1"/>
  <c r="C5"/>
  <c r="O8" s="1"/>
  <c r="P8" s="1"/>
  <c r="J4"/>
  <c r="E7" s="1"/>
  <c r="B14" i="11"/>
  <c r="D12"/>
  <c r="C12" s="1"/>
  <c r="C11"/>
  <c r="C10"/>
  <c r="C9"/>
  <c r="C8"/>
  <c r="T7"/>
  <c r="U7" s="1"/>
  <c r="R7"/>
  <c r="C7"/>
  <c r="T6"/>
  <c r="S6" s="1"/>
  <c r="R6"/>
  <c r="E6"/>
  <c r="D6"/>
  <c r="D14" s="1"/>
  <c r="T5"/>
  <c r="T14" s="1"/>
  <c r="R5"/>
  <c r="R14" s="1"/>
  <c r="C5"/>
  <c r="O9" s="1"/>
  <c r="J4"/>
  <c r="B14" i="10"/>
  <c r="C11"/>
  <c r="C10"/>
  <c r="N9"/>
  <c r="C9"/>
  <c r="T8"/>
  <c r="R8"/>
  <c r="S8" s="1"/>
  <c r="N8"/>
  <c r="C8"/>
  <c r="T7"/>
  <c r="R7"/>
  <c r="C7"/>
  <c r="R6"/>
  <c r="P6"/>
  <c r="O6"/>
  <c r="N6"/>
  <c r="N7" s="1"/>
  <c r="E6"/>
  <c r="U6" s="1"/>
  <c r="D6"/>
  <c r="D14" s="1"/>
  <c r="G13" s="1"/>
  <c r="T5"/>
  <c r="R5"/>
  <c r="R17" s="1"/>
  <c r="C5"/>
  <c r="O8" s="1"/>
  <c r="P8" s="1"/>
  <c r="J4"/>
  <c r="K4" s="1"/>
  <c r="O3"/>
  <c r="N3"/>
  <c r="B13" i="9"/>
  <c r="C11"/>
  <c r="C10"/>
  <c r="T9"/>
  <c r="R9"/>
  <c r="N9"/>
  <c r="C9"/>
  <c r="T8"/>
  <c r="R8"/>
  <c r="C8"/>
  <c r="T7"/>
  <c r="S7" s="1"/>
  <c r="O7" s="1"/>
  <c r="R7"/>
  <c r="P7"/>
  <c r="N7"/>
  <c r="N8" s="1"/>
  <c r="C7"/>
  <c r="O9" s="1"/>
  <c r="P9" s="1"/>
  <c r="R6"/>
  <c r="U6" s="1"/>
  <c r="P6"/>
  <c r="N6"/>
  <c r="E6"/>
  <c r="D6"/>
  <c r="D13" s="1"/>
  <c r="G12" s="1"/>
  <c r="T5"/>
  <c r="R5"/>
  <c r="R13" s="1"/>
  <c r="C5"/>
  <c r="J4"/>
  <c r="K4" s="1"/>
  <c r="C7" i="8"/>
  <c r="R6"/>
  <c r="U6" s="1"/>
  <c r="E6"/>
  <c r="D6"/>
  <c r="T6" s="1"/>
  <c r="C5"/>
  <c r="O9" s="1"/>
  <c r="B5"/>
  <c r="B13" s="1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L39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O30"/>
  <c r="P30" s="1"/>
  <c r="N30"/>
  <c r="O29"/>
  <c r="N29"/>
  <c r="O23"/>
  <c r="P23" s="1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D7"/>
  <c r="O6"/>
  <c r="D6"/>
  <c r="D5"/>
  <c r="D9" s="1"/>
  <c r="K4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N59" i="2"/>
  <c r="N58"/>
  <c r="O56"/>
  <c r="N51"/>
  <c r="N50"/>
  <c r="N48"/>
  <c r="N43"/>
  <c r="N42"/>
  <c r="N41"/>
  <c r="O40"/>
  <c r="P40" s="1"/>
  <c r="N40"/>
  <c r="D36"/>
  <c r="N35"/>
  <c r="C35"/>
  <c r="B35"/>
  <c r="N34"/>
  <c r="C34"/>
  <c r="N33"/>
  <c r="D33"/>
  <c r="C33"/>
  <c r="B33"/>
  <c r="O32"/>
  <c r="N32"/>
  <c r="P32" s="1"/>
  <c r="C32"/>
  <c r="O48" s="1"/>
  <c r="P48" s="1"/>
  <c r="D30"/>
  <c r="B30"/>
  <c r="D29"/>
  <c r="D28"/>
  <c r="N27"/>
  <c r="D27"/>
  <c r="N26"/>
  <c r="D26"/>
  <c r="C26" s="1"/>
  <c r="O8" s="1"/>
  <c r="N25"/>
  <c r="C25"/>
  <c r="U24"/>
  <c r="T24" s="1"/>
  <c r="S24"/>
  <c r="N75" s="1"/>
  <c r="O24"/>
  <c r="P24" s="1"/>
  <c r="N24"/>
  <c r="C24"/>
  <c r="U23"/>
  <c r="S23"/>
  <c r="C23"/>
  <c r="C22"/>
  <c r="O43" s="1"/>
  <c r="P43" s="1"/>
  <c r="U21"/>
  <c r="T21"/>
  <c r="S21"/>
  <c r="C21"/>
  <c r="C20"/>
  <c r="O34" s="1"/>
  <c r="P34" s="1"/>
  <c r="U19"/>
  <c r="T19" s="1"/>
  <c r="S19"/>
  <c r="N49" s="1"/>
  <c r="N19"/>
  <c r="C19"/>
  <c r="O25" s="1"/>
  <c r="P25" s="1"/>
  <c r="U18"/>
  <c r="T18"/>
  <c r="S18"/>
  <c r="O18"/>
  <c r="N18"/>
  <c r="P18" s="1"/>
  <c r="D18"/>
  <c r="C18"/>
  <c r="U17"/>
  <c r="T17"/>
  <c r="S17"/>
  <c r="O17"/>
  <c r="N17"/>
  <c r="P17" s="1"/>
  <c r="C17"/>
  <c r="O19" s="1"/>
  <c r="P19" s="1"/>
  <c r="U16"/>
  <c r="T16" s="1"/>
  <c r="S16"/>
  <c r="O16"/>
  <c r="P16" s="1"/>
  <c r="P21" s="1"/>
  <c r="N16"/>
  <c r="D16"/>
  <c r="U14" s="1"/>
  <c r="T14" s="1"/>
  <c r="U15"/>
  <c r="T15"/>
  <c r="S15"/>
  <c r="D15"/>
  <c r="S14"/>
  <c r="D14"/>
  <c r="S13"/>
  <c r="U13" s="1"/>
  <c r="D13"/>
  <c r="U12" s="1"/>
  <c r="T12" s="1"/>
  <c r="S12"/>
  <c r="D12"/>
  <c r="S11"/>
  <c r="U11" s="1"/>
  <c r="O11"/>
  <c r="P11" s="1"/>
  <c r="N11"/>
  <c r="D11"/>
  <c r="S10"/>
  <c r="U10" s="1"/>
  <c r="O10"/>
  <c r="P10" s="1"/>
  <c r="N10"/>
  <c r="D10"/>
  <c r="S9"/>
  <c r="T9" s="1"/>
  <c r="O9"/>
  <c r="P9" s="1"/>
  <c r="N9"/>
  <c r="C9"/>
  <c r="S8"/>
  <c r="T8" s="1"/>
  <c r="N8"/>
  <c r="C8"/>
  <c r="T7"/>
  <c r="S7"/>
  <c r="C7"/>
  <c r="U6"/>
  <c r="S6"/>
  <c r="E6"/>
  <c r="D6"/>
  <c r="U5"/>
  <c r="S5"/>
  <c r="D5"/>
  <c r="D41" i="1"/>
  <c r="C40"/>
  <c r="B38"/>
  <c r="D38" s="1"/>
  <c r="T21" s="1"/>
  <c r="C37"/>
  <c r="C36"/>
  <c r="C35"/>
  <c r="C34"/>
  <c r="D33"/>
  <c r="D32"/>
  <c r="D31"/>
  <c r="D30"/>
  <c r="D29"/>
  <c r="C28"/>
  <c r="D27"/>
  <c r="D26"/>
  <c r="D25"/>
  <c r="T24"/>
  <c r="S24"/>
  <c r="R24"/>
  <c r="D24"/>
  <c r="T23"/>
  <c r="S23" s="1"/>
  <c r="R23"/>
  <c r="N33" s="1"/>
  <c r="O23"/>
  <c r="D23"/>
  <c r="C23" s="1"/>
  <c r="B23"/>
  <c r="O22"/>
  <c r="D22"/>
  <c r="R21"/>
  <c r="D21"/>
  <c r="T20"/>
  <c r="S20"/>
  <c r="O24" s="1"/>
  <c r="R20"/>
  <c r="N25" s="1"/>
  <c r="C20"/>
  <c r="T19"/>
  <c r="S19" s="1"/>
  <c r="R19"/>
  <c r="N15" s="1"/>
  <c r="D19"/>
  <c r="C19"/>
  <c r="C18"/>
  <c r="D18" s="1"/>
  <c r="R17"/>
  <c r="S17" s="1"/>
  <c r="N17"/>
  <c r="D17"/>
  <c r="T16"/>
  <c r="R16"/>
  <c r="N16"/>
  <c r="D16"/>
  <c r="R15"/>
  <c r="T15" s="1"/>
  <c r="D15"/>
  <c r="R14"/>
  <c r="T14" s="1"/>
  <c r="O14"/>
  <c r="P14" s="1"/>
  <c r="N14"/>
  <c r="D14"/>
  <c r="T10" s="1"/>
  <c r="S10" s="1"/>
  <c r="T13"/>
  <c r="S13"/>
  <c r="R13"/>
  <c r="D13"/>
  <c r="T12"/>
  <c r="R12"/>
  <c r="E12"/>
  <c r="D12"/>
  <c r="R11"/>
  <c r="T11" s="1"/>
  <c r="D11"/>
  <c r="T8" s="1"/>
  <c r="R10"/>
  <c r="D10"/>
  <c r="R9"/>
  <c r="T9" s="1"/>
  <c r="N9"/>
  <c r="D9"/>
  <c r="R8"/>
  <c r="N8"/>
  <c r="D8"/>
  <c r="R7"/>
  <c r="T7" s="1"/>
  <c r="D7"/>
  <c r="T6"/>
  <c r="R6"/>
  <c r="O6"/>
  <c r="D6"/>
  <c r="T5"/>
  <c r="R5"/>
  <c r="D5"/>
  <c r="O3"/>
  <c r="P3" i="10" l="1"/>
  <c r="P8" i="19"/>
  <c r="P3" i="38"/>
  <c r="P11" i="4"/>
  <c r="P17" s="1"/>
  <c r="P13"/>
  <c r="P21"/>
  <c r="P29"/>
  <c r="P31"/>
  <c r="P11" i="13"/>
  <c r="P3" i="17"/>
  <c r="O3" i="19"/>
  <c r="P3" i="36"/>
  <c r="O17" i="1"/>
  <c r="P17" s="1"/>
  <c r="O16"/>
  <c r="P16" s="1"/>
  <c r="P19" s="1"/>
  <c r="O15"/>
  <c r="P15" s="1"/>
  <c r="O50" i="2"/>
  <c r="P50" s="1"/>
  <c r="O51"/>
  <c r="P51" s="1"/>
  <c r="O49"/>
  <c r="P49" s="1"/>
  <c r="O74"/>
  <c r="O72"/>
  <c r="O75"/>
  <c r="P75" s="1"/>
  <c r="O73"/>
  <c r="O33" i="1"/>
  <c r="P33" s="1"/>
  <c r="O32"/>
  <c r="O31"/>
  <c r="O30"/>
  <c r="P8" i="2"/>
  <c r="P13" s="1"/>
  <c r="O3"/>
  <c r="P53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R32" i="13"/>
  <c r="G18"/>
  <c r="O3"/>
  <c r="N3"/>
  <c r="N9" i="17"/>
  <c r="N8"/>
  <c r="J4"/>
  <c r="K4" s="1"/>
  <c r="N7"/>
  <c r="N9" i="18"/>
  <c r="P9" s="1"/>
  <c r="N7"/>
  <c r="P7" s="1"/>
  <c r="N8"/>
  <c r="J4"/>
  <c r="K4" s="1"/>
  <c r="N24" i="1"/>
  <c r="P24" s="1"/>
  <c r="O25"/>
  <c r="P25" s="1"/>
  <c r="N30"/>
  <c r="N31"/>
  <c r="N32"/>
  <c r="B39"/>
  <c r="O26" i="2"/>
  <c r="P26" s="1"/>
  <c r="P29" s="1"/>
  <c r="O27"/>
  <c r="P27" s="1"/>
  <c r="O35"/>
  <c r="P35" s="1"/>
  <c r="O42"/>
  <c r="P42" s="1"/>
  <c r="N72"/>
  <c r="N74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26" i="4"/>
  <c r="P25" i="13"/>
  <c r="K4" i="15"/>
  <c r="P7" i="17"/>
  <c r="P8" i="18"/>
  <c r="L40" i="5"/>
  <c r="M40" s="1"/>
  <c r="M39"/>
  <c r="H37"/>
  <c r="I37" s="1"/>
  <c r="K37" s="1"/>
  <c r="H38"/>
  <c r="J4" i="8"/>
  <c r="N9"/>
  <c r="P9" s="1"/>
  <c r="K4" i="11"/>
  <c r="G13"/>
  <c r="C8" i="17"/>
  <c r="T8"/>
  <c r="N22" i="1"/>
  <c r="P22" s="1"/>
  <c r="N23"/>
  <c r="P23" s="1"/>
  <c r="B31" i="2"/>
  <c r="O33"/>
  <c r="P33" s="1"/>
  <c r="P37" s="1"/>
  <c r="O41"/>
  <c r="P41" s="1"/>
  <c r="P45" s="1"/>
  <c r="N73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P11" i="18"/>
  <c r="T25" i="20"/>
  <c r="S5"/>
  <c r="O9" s="1"/>
  <c r="P9" s="1"/>
  <c r="O7" i="27"/>
  <c r="O8"/>
  <c r="P8" s="1"/>
  <c r="O6"/>
  <c r="P6" s="1"/>
  <c r="O3" i="31"/>
  <c r="N3"/>
  <c r="K4" i="39"/>
  <c r="G13"/>
  <c r="N6" i="4"/>
  <c r="P6" s="1"/>
  <c r="G8"/>
  <c r="M38" i="5"/>
  <c r="M47" s="1"/>
  <c r="E63"/>
  <c r="R5" i="8"/>
  <c r="R13" s="1"/>
  <c r="O6"/>
  <c r="N7"/>
  <c r="O8"/>
  <c r="O6" i="9"/>
  <c r="O8"/>
  <c r="P8" s="1"/>
  <c r="P11" s="1"/>
  <c r="O9" i="10"/>
  <c r="P9" s="1"/>
  <c r="N6" i="11"/>
  <c r="O7"/>
  <c r="N8"/>
  <c r="N9"/>
  <c r="P9" s="1"/>
  <c r="K4" i="12"/>
  <c r="O7"/>
  <c r="P7" s="1"/>
  <c r="O9"/>
  <c r="P9" s="1"/>
  <c r="U5" i="13"/>
  <c r="N6" i="14"/>
  <c r="N7"/>
  <c r="N8"/>
  <c r="T5" i="15"/>
  <c r="O8"/>
  <c r="P8" s="1"/>
  <c r="P11" s="1"/>
  <c r="T8"/>
  <c r="T9"/>
  <c r="N14"/>
  <c r="N15"/>
  <c r="P15" s="1"/>
  <c r="O16"/>
  <c r="G17"/>
  <c r="O17"/>
  <c r="P17" s="1"/>
  <c r="O7" i="16"/>
  <c r="P7" s="1"/>
  <c r="O9"/>
  <c r="P9" s="1"/>
  <c r="U5" i="17"/>
  <c r="O8"/>
  <c r="P8" s="1"/>
  <c r="R8"/>
  <c r="R14" s="1"/>
  <c r="O9"/>
  <c r="P9" s="1"/>
  <c r="O6" i="18"/>
  <c r="T6"/>
  <c r="S6" s="1"/>
  <c r="N3" i="19"/>
  <c r="P3" s="1"/>
  <c r="S9"/>
  <c r="O3" i="20"/>
  <c r="P3" s="1"/>
  <c r="K4" i="27"/>
  <c r="P19" i="30"/>
  <c r="P12" i="31"/>
  <c r="R33" i="19"/>
  <c r="N9"/>
  <c r="P9" s="1"/>
  <c r="Q9" i="35"/>
  <c r="Q8"/>
  <c r="Q7"/>
  <c r="D5" i="8"/>
  <c r="N6"/>
  <c r="O7"/>
  <c r="P7" s="1"/>
  <c r="N8"/>
  <c r="S5" i="9"/>
  <c r="T6"/>
  <c r="T13" s="1"/>
  <c r="S5" i="10"/>
  <c r="T6"/>
  <c r="T17" s="1"/>
  <c r="O7"/>
  <c r="P7" s="1"/>
  <c r="P12" s="1"/>
  <c r="U5" i="11"/>
  <c r="O6"/>
  <c r="P6" s="1"/>
  <c r="N7"/>
  <c r="O8"/>
  <c r="P8" s="1"/>
  <c r="O6" i="12"/>
  <c r="P6" s="1"/>
  <c r="P12" s="1"/>
  <c r="V7" i="13"/>
  <c r="O6" i="14"/>
  <c r="P6" s="1"/>
  <c r="O7"/>
  <c r="P7" s="1"/>
  <c r="O8"/>
  <c r="P8" s="1"/>
  <c r="O14" i="15"/>
  <c r="P14" s="1"/>
  <c r="N16"/>
  <c r="O6" i="16"/>
  <c r="P6" s="1"/>
  <c r="P11" s="1"/>
  <c r="P6" i="19"/>
  <c r="P12" i="20"/>
  <c r="K4" i="23"/>
  <c r="P11"/>
  <c r="P9" i="24"/>
  <c r="T21" i="26"/>
  <c r="S21" s="1"/>
  <c r="K4" i="35"/>
  <c r="K4" i="36"/>
  <c r="S5" i="19"/>
  <c r="T5" s="1"/>
  <c r="T33" s="1"/>
  <c r="W33" s="1"/>
  <c r="O7" i="21"/>
  <c r="P7" s="1"/>
  <c r="O7" i="22"/>
  <c r="P7" s="1"/>
  <c r="N8"/>
  <c r="O6" i="23"/>
  <c r="T6"/>
  <c r="S6" s="1"/>
  <c r="C9"/>
  <c r="O6" i="24"/>
  <c r="P6" s="1"/>
  <c r="T6"/>
  <c r="S6" s="1"/>
  <c r="N7"/>
  <c r="O8"/>
  <c r="T5" i="26"/>
  <c r="T39" s="1"/>
  <c r="C9"/>
  <c r="N6" s="1"/>
  <c r="P6" s="1"/>
  <c r="B39"/>
  <c r="G39" s="1"/>
  <c r="N7" i="27"/>
  <c r="O14"/>
  <c r="P14" s="1"/>
  <c r="O16"/>
  <c r="P16" s="1"/>
  <c r="O17"/>
  <c r="P17" s="1"/>
  <c r="N6" i="28"/>
  <c r="O7"/>
  <c r="P7" s="1"/>
  <c r="N8"/>
  <c r="O6" i="29"/>
  <c r="O8"/>
  <c r="P8" s="1"/>
  <c r="P11" s="1"/>
  <c r="C10"/>
  <c r="S5" i="30"/>
  <c r="O6"/>
  <c r="O7"/>
  <c r="P7" s="1"/>
  <c r="P11" s="1"/>
  <c r="O14"/>
  <c r="T6" i="31"/>
  <c r="T17" s="1"/>
  <c r="O7" i="32"/>
  <c r="P7" s="1"/>
  <c r="O9"/>
  <c r="P9" s="1"/>
  <c r="O6" i="33"/>
  <c r="P6" s="1"/>
  <c r="O8"/>
  <c r="P8" s="1"/>
  <c r="R5" i="34"/>
  <c r="C6"/>
  <c r="R10"/>
  <c r="R13"/>
  <c r="S13" s="1"/>
  <c r="O17"/>
  <c r="T20"/>
  <c r="V20" s="1"/>
  <c r="O24"/>
  <c r="P24" s="1"/>
  <c r="P28" s="1"/>
  <c r="O6" i="35"/>
  <c r="P6" s="1"/>
  <c r="O7"/>
  <c r="P7" s="1"/>
  <c r="O8"/>
  <c r="P8" s="1"/>
  <c r="S5" i="36"/>
  <c r="T5" i="37"/>
  <c r="O6"/>
  <c r="O9"/>
  <c r="P9" s="1"/>
  <c r="P11" s="1"/>
  <c r="S5" i="38"/>
  <c r="S5" i="39"/>
  <c r="N7"/>
  <c r="O8"/>
  <c r="P8" s="1"/>
  <c r="O6" i="21"/>
  <c r="P6" s="1"/>
  <c r="O8"/>
  <c r="P8" s="1"/>
  <c r="O8" i="22"/>
  <c r="P8" s="1"/>
  <c r="O7" i="24"/>
  <c r="P7" s="1"/>
  <c r="N8"/>
  <c r="T6" i="27"/>
  <c r="T17" s="1"/>
  <c r="O6" i="28"/>
  <c r="P6" s="1"/>
  <c r="O8"/>
  <c r="P8" s="1"/>
  <c r="O6" i="32"/>
  <c r="P6" s="1"/>
  <c r="P11" s="1"/>
  <c r="V19" i="34"/>
  <c r="O7" i="39"/>
  <c r="P7" s="1"/>
  <c r="P11" s="1"/>
  <c r="O3" i="34" l="1"/>
  <c r="P11" i="33"/>
  <c r="P12" i="17"/>
  <c r="P35" i="4"/>
  <c r="P27" i="1"/>
  <c r="O8" i="38"/>
  <c r="P8" s="1"/>
  <c r="O9"/>
  <c r="P9" s="1"/>
  <c r="O7"/>
  <c r="P7" s="1"/>
  <c r="O3" i="37"/>
  <c r="N3"/>
  <c r="R46" i="34"/>
  <c r="T5"/>
  <c r="T46" s="1"/>
  <c r="W46" s="1"/>
  <c r="O3" i="23"/>
  <c r="N3"/>
  <c r="P6" i="8"/>
  <c r="O3"/>
  <c r="N3"/>
  <c r="H42" i="5"/>
  <c r="I42" s="1"/>
  <c r="K42" s="1"/>
  <c r="H39"/>
  <c r="D39" i="1"/>
  <c r="D43" s="1"/>
  <c r="T22"/>
  <c r="R22"/>
  <c r="T18"/>
  <c r="R18"/>
  <c r="N6"/>
  <c r="N3" i="2"/>
  <c r="P3" s="1"/>
  <c r="P11" i="28"/>
  <c r="P11" i="21"/>
  <c r="P8" i="24"/>
  <c r="P11" i="22"/>
  <c r="P13" i="19"/>
  <c r="P12" i="14"/>
  <c r="N18" i="8"/>
  <c r="T22" i="18"/>
  <c r="P8" i="8"/>
  <c r="P11" i="27"/>
  <c r="P7"/>
  <c r="K14" i="5"/>
  <c r="S8" i="17"/>
  <c r="T14"/>
  <c r="I38" i="5"/>
  <c r="K38" s="1"/>
  <c r="B43" i="1"/>
  <c r="P30"/>
  <c r="P32"/>
  <c r="P74" i="2"/>
  <c r="S5" i="37"/>
  <c r="T18"/>
  <c r="N3" i="30"/>
  <c r="O3"/>
  <c r="O3" i="29"/>
  <c r="P3" s="1"/>
  <c r="N3"/>
  <c r="N9" i="26"/>
  <c r="P9" s="1"/>
  <c r="J4"/>
  <c r="N3"/>
  <c r="P3" s="1"/>
  <c r="D13" i="8"/>
  <c r="G12" s="1"/>
  <c r="T5"/>
  <c r="N3" i="18"/>
  <c r="O3"/>
  <c r="P3" s="1"/>
  <c r="S5" i="15"/>
  <c r="T37"/>
  <c r="O3" i="9"/>
  <c r="N3"/>
  <c r="N56" i="2"/>
  <c r="P56" s="1"/>
  <c r="S22"/>
  <c r="D31"/>
  <c r="D38" s="1"/>
  <c r="U22"/>
  <c r="U20"/>
  <c r="S20"/>
  <c r="P11" i="35"/>
  <c r="P20" i="27"/>
  <c r="P11" i="24"/>
  <c r="T22" i="23"/>
  <c r="N3" i="34"/>
  <c r="P3" s="1"/>
  <c r="T21" i="24"/>
  <c r="P16" i="15"/>
  <c r="P19" s="1"/>
  <c r="P7" i="11"/>
  <c r="P11" s="1"/>
  <c r="P3" i="31"/>
  <c r="K4" i="8"/>
  <c r="P3" i="13"/>
  <c r="B38" i="2"/>
  <c r="P31" i="1"/>
  <c r="P73" i="2"/>
  <c r="P72"/>
  <c r="P77" s="1"/>
  <c r="P11" i="38" l="1"/>
  <c r="S5" i="8"/>
  <c r="T13"/>
  <c r="J12" i="1"/>
  <c r="J13" s="1"/>
  <c r="J4"/>
  <c r="K4" s="1"/>
  <c r="N3"/>
  <c r="P3" s="1"/>
  <c r="P6"/>
  <c r="S18"/>
  <c r="T32"/>
  <c r="H40" i="5"/>
  <c r="I40" s="1"/>
  <c r="K40" s="1"/>
  <c r="J13" s="1"/>
  <c r="I39"/>
  <c r="K39" s="1"/>
  <c r="P11" i="8"/>
  <c r="P3" i="23"/>
  <c r="P3" i="37"/>
  <c r="N57" i="2"/>
  <c r="S37"/>
  <c r="J7"/>
  <c r="J8" s="1"/>
  <c r="J4"/>
  <c r="K4" s="1"/>
  <c r="T20"/>
  <c r="U37"/>
  <c r="N7" i="1"/>
  <c r="R32"/>
  <c r="G42"/>
  <c r="G7"/>
  <c r="G37" i="2"/>
  <c r="P3" i="9"/>
  <c r="P3" i="30"/>
  <c r="P35" i="1"/>
  <c r="P3" i="8"/>
  <c r="O47" i="5" l="1"/>
  <c r="P47" s="1"/>
  <c r="J15"/>
  <c r="J16" s="1"/>
  <c r="O59" i="2"/>
  <c r="P59" s="1"/>
  <c r="O57"/>
  <c r="P57" s="1"/>
  <c r="P61" s="1"/>
  <c r="O58"/>
  <c r="P58" s="1"/>
  <c r="O9" i="1"/>
  <c r="P9" s="1"/>
  <c r="O8"/>
  <c r="P8" s="1"/>
  <c r="O7"/>
  <c r="P7" s="1"/>
  <c r="P11" s="1"/>
</calcChain>
</file>

<file path=xl/sharedStrings.xml><?xml version="1.0" encoding="utf-8"?>
<sst xmlns="http://schemas.openxmlformats.org/spreadsheetml/2006/main" count="890" uniqueCount="102">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</sst>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2646144"/>
        <c:axId val="82647680"/>
      </c:lineChart>
      <c:dateAx>
        <c:axId val="82646144"/>
        <c:scaling>
          <c:orientation val="minMax"/>
        </c:scaling>
        <c:axPos val="b"/>
        <c:numFmt formatCode="dd/mm/yy;@" sourceLinked="1"/>
        <c:majorTickMark val="none"/>
        <c:tickLblPos val="nextTo"/>
        <c:crossAx val="82647680"/>
        <c:crosses val="autoZero"/>
        <c:lblOffset val="100"/>
      </c:dateAx>
      <c:valAx>
        <c:axId val="8264768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64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N4" sqref="N4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2227.104453794891</v>
      </c>
      <c r="M3" t="s">
        <v>4</v>
      </c>
      <c r="N3" s="24">
        <f>(INDEX(N5:N33,MATCH(MAX(O6,O14),O5:O33,0))/0.85)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(B43*J3)</f>
        <v>1264.524408518743</v>
      </c>
      <c r="K4" s="4">
        <f>(J4/D43-1)</f>
        <v>-0.17411398855438864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4">
        <f>(B5)</f>
        <v>0.25</v>
      </c>
      <c r="S5" s="27">
        <v>4000</v>
      </c>
      <c r="T5" s="28">
        <f>(R5*S5)</f>
        <v>1000</v>
      </c>
    </row>
    <row r="6" spans="2:20">
      <c r="B6" s="24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4">
        <f>(B6)</f>
        <v>5.9999999999999995E-4</v>
      </c>
      <c r="S6" s="27">
        <v>3950</v>
      </c>
      <c r="T6" s="28">
        <f>(R6*S6)</f>
        <v>2.3699999999999997</v>
      </c>
    </row>
    <row r="7" spans="2:20">
      <c r="B7" s="24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(D43/B43)</f>
        <v>2696.6245013602061</v>
      </c>
      <c r="N7">
        <f>(2*($R$18+N6)/5-N6)</f>
        <v>4.1803900000000005E-2</v>
      </c>
      <c r="O7" s="27">
        <f>($S$18*[1]Params!K16)</f>
        <v>3393.1103682589946</v>
      </c>
      <c r="P7" s="28">
        <f>(O7*N7)</f>
        <v>141.84524652366221</v>
      </c>
      <c r="R7" s="24">
        <f>(B7)</f>
        <v>3.3999999999999998E-3</v>
      </c>
      <c r="S7" s="27">
        <v>3428</v>
      </c>
      <c r="T7" s="28">
        <f>(R7*S7)</f>
        <v>11.655199999999999</v>
      </c>
    </row>
    <row r="8" spans="2:20">
      <c r="B8" s="24">
        <v>-7.6E-3</v>
      </c>
      <c r="C8" s="26">
        <v>3216.89</v>
      </c>
      <c r="D8" s="28">
        <f t="shared" si="0"/>
        <v>-24.448363999999998</v>
      </c>
      <c r="N8">
        <f>($B$35/5)</f>
        <v>2.3224450000000001E-2</v>
      </c>
      <c r="O8" s="27">
        <f>($S$18*[1]Params!K17)</f>
        <v>6786.2207365179893</v>
      </c>
      <c r="P8" s="28">
        <f>(O8*N8)</f>
        <v>157.60624418422523</v>
      </c>
      <c r="R8" s="24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4">
        <v>-7.6E-3</v>
      </c>
      <c r="C9" s="26">
        <v>3214.67</v>
      </c>
      <c r="D9" s="28">
        <f t="shared" si="0"/>
        <v>-24.431492000000002</v>
      </c>
      <c r="N9">
        <f>($B$35/5)</f>
        <v>2.3224450000000001E-2</v>
      </c>
      <c r="O9" s="27">
        <f>($S$18*[1]Params!K18)</f>
        <v>13572.441473035979</v>
      </c>
      <c r="P9" s="28">
        <f>(O9*N9)</f>
        <v>315.21248836845047</v>
      </c>
      <c r="R9" s="24">
        <f>(B12)</f>
        <v>6.7391899999999999E-3</v>
      </c>
      <c r="S9" s="26">
        <v>0</v>
      </c>
      <c r="T9" s="28">
        <f>(R9*S9)</f>
        <v>0</v>
      </c>
    </row>
    <row r="10" spans="2:20">
      <c r="B10" s="24">
        <v>-7.6E-3</v>
      </c>
      <c r="C10" s="26">
        <v>3213.16</v>
      </c>
      <c r="D10" s="28">
        <f t="shared" si="0"/>
        <v>-24.420016</v>
      </c>
      <c r="R10" s="24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4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622.11920407633784</v>
      </c>
      <c r="R11" s="24">
        <f>(B21)</f>
        <v>0.01</v>
      </c>
      <c r="S11" s="27">
        <v>1895</v>
      </c>
      <c r="T11" s="28">
        <f>(R11*S11)</f>
        <v>18.95</v>
      </c>
    </row>
    <row r="12" spans="2:20">
      <c r="B12" s="25">
        <v>6.7391899999999999E-3</v>
      </c>
      <c r="C12" s="29">
        <v>0</v>
      </c>
      <c r="D12" s="30">
        <f t="shared" si="0"/>
        <v>0</v>
      </c>
      <c r="E12" s="26">
        <f>(B12*J3)</f>
        <v>15.008880063969992</v>
      </c>
      <c r="I12" t="s">
        <v>13</v>
      </c>
      <c r="J12">
        <f>(J11-B43)</f>
        <v>3.221145000000003E-2</v>
      </c>
      <c r="R12" s="24">
        <f>(B22)</f>
        <v>0.01</v>
      </c>
      <c r="S12" s="27">
        <v>1890.15</v>
      </c>
      <c r="T12" s="28">
        <f>(R12*S12)</f>
        <v>18.901500000000002</v>
      </c>
    </row>
    <row r="13" spans="2:20">
      <c r="B13" s="24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71.738263758191508</v>
      </c>
      <c r="M13" t="s">
        <v>15</v>
      </c>
      <c r="N13" t="s">
        <v>0</v>
      </c>
      <c r="O13" t="s">
        <v>1</v>
      </c>
      <c r="P13" t="s">
        <v>2</v>
      </c>
      <c r="R13" s="24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4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4">
        <f>(B24)</f>
        <v>0.01</v>
      </c>
      <c r="S14" s="27">
        <v>1709</v>
      </c>
      <c r="T14" s="28">
        <f>(S14*R14)</f>
        <v>17.09</v>
      </c>
    </row>
    <row r="15" spans="2:20">
      <c r="B15" s="24">
        <v>-8.9999999999999993E-3</v>
      </c>
      <c r="C15" s="26">
        <v>2114</v>
      </c>
      <c r="D15" s="28">
        <f t="shared" si="0"/>
        <v>-19.026</v>
      </c>
      <c r="N15">
        <f>(2*($R$19+N14)/5-N14)</f>
        <v>8.6975679999999993E-3</v>
      </c>
      <c r="O15" s="27">
        <f>($S$19*[1]Params!K16)</f>
        <v>3456.3484423338546</v>
      </c>
      <c r="P15" s="28">
        <f>(O15*N15)</f>
        <v>30.061825608892775</v>
      </c>
      <c r="R15" s="24">
        <f>(B25)</f>
        <v>0.01</v>
      </c>
      <c r="S15" s="27">
        <v>1617.3</v>
      </c>
      <c r="T15" s="28">
        <f>(S15*R15)</f>
        <v>16.172999999999998</v>
      </c>
    </row>
    <row r="16" spans="2:20">
      <c r="B16" s="24">
        <v>-8.0000000000000002E-3</v>
      </c>
      <c r="C16" s="26">
        <v>2027.47</v>
      </c>
      <c r="D16" s="28">
        <f t="shared" si="0"/>
        <v>-16.219760000000001</v>
      </c>
      <c r="N16">
        <f>($B$36/5)</f>
        <v>4.701284E-3</v>
      </c>
      <c r="O16" s="27">
        <f>($S$19*[1]Params!K17)</f>
        <v>6912.6968846677091</v>
      </c>
      <c r="P16" s="28">
        <f>(O16*N16)</f>
        <v>32.498551260738147</v>
      </c>
      <c r="R16" s="24">
        <f>(SUM(B26:B33))</f>
        <v>0</v>
      </c>
      <c r="S16" s="26">
        <v>0</v>
      </c>
      <c r="T16" s="28">
        <f>(SUM(D26:D33))</f>
        <v>-1.1127000000000002</v>
      </c>
    </row>
    <row r="17" spans="2:21">
      <c r="B17" s="24">
        <v>-8.2000000000000007E-3</v>
      </c>
      <c r="C17" s="26">
        <v>1961</v>
      </c>
      <c r="D17" s="28">
        <f t="shared" si="0"/>
        <v>-16.080200000000001</v>
      </c>
      <c r="N17">
        <f>($B$36/5)</f>
        <v>4.701284E-3</v>
      </c>
      <c r="O17" s="27">
        <f>($S$19*[1]Params!K18)</f>
        <v>13825.393769335418</v>
      </c>
      <c r="P17" s="28">
        <f>(O17*N17)</f>
        <v>64.997102521476293</v>
      </c>
      <c r="R17" s="24">
        <f>(B34)</f>
        <v>-0.01</v>
      </c>
      <c r="S17" s="26">
        <f>(T17/R17)</f>
        <v>1219.326523</v>
      </c>
      <c r="T17" s="28">
        <v>-12.19326523</v>
      </c>
    </row>
    <row r="18" spans="2:21">
      <c r="B18" s="24">
        <v>1.6E-2</v>
      </c>
      <c r="C18" s="27">
        <f>1/0.00048218</f>
        <v>2073.9143058608815</v>
      </c>
      <c r="D18" s="28">
        <f t="shared" si="0"/>
        <v>33.182628893774108</v>
      </c>
      <c r="R18" s="24">
        <f>(B35+B39)</f>
        <v>0.11147725</v>
      </c>
      <c r="S18" s="27">
        <f>(T18/R18)</f>
        <v>1696.5551841294973</v>
      </c>
      <c r="T18" s="28">
        <f>(D35+1283.68*B39)</f>
        <v>189.12730640000001</v>
      </c>
      <c r="U18" t="s">
        <v>9</v>
      </c>
    </row>
    <row r="19" spans="2:21">
      <c r="B19" s="24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128.68900439110723</v>
      </c>
      <c r="R19" s="24">
        <f>(B36+B38)</f>
        <v>2.2801419999999999E-2</v>
      </c>
      <c r="S19" s="27">
        <f>(T19/R19)</f>
        <v>1728.1742211669273</v>
      </c>
      <c r="T19" s="28">
        <f>(D36+1269.75*B38)</f>
        <v>39.404826249999999</v>
      </c>
      <c r="U19" t="s">
        <v>15</v>
      </c>
    </row>
    <row r="20" spans="2:21">
      <c r="B20" s="24">
        <v>3.2104290000000001E-2</v>
      </c>
      <c r="C20" s="27">
        <f>D20/B20</f>
        <v>1557.4242570073968</v>
      </c>
      <c r="D20" s="28">
        <v>50</v>
      </c>
      <c r="R20" s="24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4">
        <v>0.01</v>
      </c>
      <c r="C21" s="27">
        <v>1895</v>
      </c>
      <c r="D21" s="28">
        <f>B21*C21</f>
        <v>18.95</v>
      </c>
      <c r="N21" t="s">
        <v>0</v>
      </c>
      <c r="O21" t="s">
        <v>1</v>
      </c>
      <c r="P21" t="s">
        <v>2</v>
      </c>
      <c r="R21" s="24">
        <f>(B38-B38)</f>
        <v>0</v>
      </c>
      <c r="S21" s="26">
        <v>0</v>
      </c>
      <c r="T21" s="28">
        <f>(1269.75*-B38+D38)</f>
        <v>-0.23635125000000012</v>
      </c>
      <c r="U21" t="s">
        <v>16</v>
      </c>
    </row>
    <row r="22" spans="2:21">
      <c r="B22" s="24">
        <v>0.01</v>
      </c>
      <c r="C22" s="27">
        <v>1890.15</v>
      </c>
      <c r="D22" s="28">
        <f>B22*C22</f>
        <v>18.901500000000002</v>
      </c>
      <c r="M22" t="s">
        <v>10</v>
      </c>
      <c r="N22" s="24">
        <f>($R$20/5)</f>
        <v>8.2455999999999998E-5</v>
      </c>
      <c r="O22" s="27">
        <f>($S$20*[1]Params!K15)</f>
        <v>1819.1520325992044</v>
      </c>
      <c r="P22" s="28">
        <f>(O22*N22)</f>
        <v>0.15</v>
      </c>
      <c r="R22" s="24">
        <f>(B39-B39)</f>
        <v>0</v>
      </c>
      <c r="S22" s="26">
        <v>0</v>
      </c>
      <c r="T22" s="28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27">
        <f>D23/B23</f>
        <v>1643.6436436436434</v>
      </c>
      <c r="D23" s="28">
        <f>82.1</f>
        <v>82.1</v>
      </c>
      <c r="N23" s="24">
        <f>($R$20/5)</f>
        <v>8.2455999999999998E-5</v>
      </c>
      <c r="O23" s="27">
        <f>($S$20*[1]Params!K16)</f>
        <v>2425.5360434656059</v>
      </c>
      <c r="P23" s="28">
        <f>(O23*N23)</f>
        <v>0.19999999999999998</v>
      </c>
      <c r="R23" s="24">
        <f>(B40)</f>
        <v>5.3624520000000002E-2</v>
      </c>
      <c r="S23" s="27">
        <f>(T23/R23)</f>
        <v>1848.9675991505378</v>
      </c>
      <c r="T23" s="28">
        <f>(D40)</f>
        <v>99.15</v>
      </c>
      <c r="U23" t="s">
        <v>18</v>
      </c>
    </row>
    <row r="24" spans="2:21">
      <c r="B24" s="24">
        <v>0.01</v>
      </c>
      <c r="C24" s="27">
        <v>1709</v>
      </c>
      <c r="D24" s="28">
        <f>C24*B24</f>
        <v>17.09</v>
      </c>
      <c r="N24" s="24">
        <f>($R$20/5)</f>
        <v>8.2455999999999998E-5</v>
      </c>
      <c r="O24" s="27">
        <f>($S$20*[1]Params!K17)</f>
        <v>4851.0720869312117</v>
      </c>
      <c r="P24" s="28">
        <f>(O24*N24)</f>
        <v>0.39999999999999997</v>
      </c>
      <c r="R24" s="24">
        <f>B41</f>
        <v>2.0379600000000001E-2</v>
      </c>
      <c r="S24" s="27">
        <f>(T24/R24)</f>
        <v>2275</v>
      </c>
      <c r="T24" s="28">
        <f>D41</f>
        <v>46.363590000000002</v>
      </c>
    </row>
    <row r="25" spans="2:21">
      <c r="B25" s="24">
        <v>0.01</v>
      </c>
      <c r="C25" s="27">
        <v>1617.3</v>
      </c>
      <c r="D25" s="28">
        <f>(C25*B25)</f>
        <v>16.172999999999998</v>
      </c>
      <c r="N25" s="24">
        <f>($R$20/5)</f>
        <v>8.2455999999999998E-5</v>
      </c>
      <c r="O25" s="27">
        <f>($S$20*[1]Params!K18)</f>
        <v>9702.1441738624235</v>
      </c>
      <c r="P25" s="28">
        <f>(O25*N25)</f>
        <v>0.79999999999999993</v>
      </c>
    </row>
    <row r="26" spans="2:21">
      <c r="B26" s="24">
        <v>-0.01</v>
      </c>
      <c r="C26" s="26">
        <v>1530</v>
      </c>
      <c r="D26" s="28">
        <f>(C26*B26)</f>
        <v>-15.3</v>
      </c>
    </row>
    <row r="27" spans="2:21">
      <c r="B27" s="24">
        <v>0.01</v>
      </c>
      <c r="C27" s="27">
        <v>1500</v>
      </c>
      <c r="D27" s="28">
        <f>(C27*B27)</f>
        <v>15</v>
      </c>
      <c r="P27" s="28">
        <f>(SUM(P22:P25))</f>
        <v>1.5499999999999998</v>
      </c>
    </row>
    <row r="28" spans="2:21">
      <c r="B28" s="24">
        <v>-0.01</v>
      </c>
      <c r="C28" s="26">
        <f>(D28/B28)</f>
        <v>1443</v>
      </c>
      <c r="D28" s="28">
        <v>-14.43</v>
      </c>
    </row>
    <row r="29" spans="2:21">
      <c r="B29" s="24">
        <v>0.01</v>
      </c>
      <c r="C29" s="27">
        <v>1428.89</v>
      </c>
      <c r="D29" s="28">
        <f>(C29*B29)</f>
        <v>14.288900000000002</v>
      </c>
      <c r="M29" t="s">
        <v>18</v>
      </c>
      <c r="N29" t="s">
        <v>0</v>
      </c>
      <c r="O29" t="s">
        <v>1</v>
      </c>
      <c r="P29" t="s">
        <v>2</v>
      </c>
    </row>
    <row r="30" spans="2:21">
      <c r="B30" s="24">
        <v>-0.01</v>
      </c>
      <c r="C30" s="26">
        <v>1402.5</v>
      </c>
      <c r="D30" s="28">
        <f>(C30*B30)</f>
        <v>-14.025</v>
      </c>
      <c r="M30" t="s">
        <v>10</v>
      </c>
      <c r="N30">
        <f>($R$23/5)</f>
        <v>1.0724904E-2</v>
      </c>
      <c r="O30" s="27">
        <f>($S$23*[1]Params!K15)</f>
        <v>2773.4513987258069</v>
      </c>
      <c r="P30" s="28">
        <f>(O30*N30)</f>
        <v>29.745000000000005</v>
      </c>
    </row>
    <row r="31" spans="2:21">
      <c r="B31" s="24">
        <v>0.01</v>
      </c>
      <c r="C31" s="27">
        <v>1372</v>
      </c>
      <c r="D31" s="28">
        <f>(C31*B31)</f>
        <v>13.72</v>
      </c>
      <c r="N31">
        <f>($R$23/5)</f>
        <v>1.0724904E-2</v>
      </c>
      <c r="O31" s="27">
        <f>($S$23*[1]Params!K16)</f>
        <v>3697.9351983010756</v>
      </c>
      <c r="P31" s="28">
        <f>(O31*N31)</f>
        <v>39.660000000000004</v>
      </c>
    </row>
    <row r="32" spans="2:21">
      <c r="B32" s="24">
        <v>-0.01</v>
      </c>
      <c r="C32" s="26">
        <v>1286.6600000000001</v>
      </c>
      <c r="D32" s="28">
        <f>(C32*B32)</f>
        <v>-12.866600000000002</v>
      </c>
      <c r="N32">
        <f>($R$23/5)</f>
        <v>1.0724904E-2</v>
      </c>
      <c r="O32" s="27">
        <f>($S$23*[1]Params!K17)</f>
        <v>7395.8703966021512</v>
      </c>
      <c r="P32" s="28">
        <f>(O32*N32)</f>
        <v>79.320000000000007</v>
      </c>
      <c r="R32">
        <f>(SUM(R5:R31))</f>
        <v>0.56778855000000006</v>
      </c>
      <c r="T32" s="28">
        <f>(SUM(T5:T31))</f>
        <v>1531.1125155217842</v>
      </c>
    </row>
    <row r="33" spans="2:16">
      <c r="B33" s="24">
        <v>0.01</v>
      </c>
      <c r="C33" s="27">
        <v>1250</v>
      </c>
      <c r="D33" s="28">
        <f>(C33*B33)</f>
        <v>12.5</v>
      </c>
      <c r="N33">
        <f>($R$23/5)</f>
        <v>1.0724904E-2</v>
      </c>
      <c r="O33" s="27">
        <f>($S$23*[1]Params!K18)</f>
        <v>14791.740793204302</v>
      </c>
      <c r="P33" s="28">
        <f>(O33*N33)</f>
        <v>158.64000000000001</v>
      </c>
    </row>
    <row r="34" spans="2:16">
      <c r="B34" s="24">
        <v>-0.01</v>
      </c>
      <c r="C34" s="26">
        <f>(D34/B34)</f>
        <v>1219.326523</v>
      </c>
      <c r="D34" s="28">
        <v>-12.19326523</v>
      </c>
    </row>
    <row r="35" spans="2:16">
      <c r="B35" s="24">
        <v>0.11612225</v>
      </c>
      <c r="C35" s="27">
        <f>(D35/B35)</f>
        <v>1680.0397856569264</v>
      </c>
      <c r="D35" s="28">
        <v>195.09</v>
      </c>
      <c r="E35" t="s">
        <v>9</v>
      </c>
      <c r="P35" s="28">
        <f>(SUM(P30:P33))</f>
        <v>307.36500000000001</v>
      </c>
    </row>
    <row r="36" spans="2:16">
      <c r="B36" s="24">
        <v>2.350642E-2</v>
      </c>
      <c r="C36" s="27">
        <f>(D36/B36)</f>
        <v>1714.4252506336566</v>
      </c>
      <c r="D36" s="28">
        <v>40.299999999999997</v>
      </c>
      <c r="E36" t="s">
        <v>15</v>
      </c>
    </row>
    <row r="37" spans="2:16">
      <c r="B37" s="24">
        <v>4.1228E-4</v>
      </c>
      <c r="C37" s="27">
        <f>(D37/B37)</f>
        <v>1212.7680217328029</v>
      </c>
      <c r="D37" s="28">
        <v>0.5</v>
      </c>
    </row>
    <row r="38" spans="2:16">
      <c r="B38" s="24">
        <f>(-0.000705)</f>
        <v>-7.0500000000000001E-4</v>
      </c>
      <c r="C38" s="26">
        <v>1605</v>
      </c>
      <c r="D38" s="28">
        <f>(C38*B38)</f>
        <v>-1.1315250000000001</v>
      </c>
    </row>
    <row r="39" spans="2:16">
      <c r="B39" s="24">
        <f>(-0.00535-B38)</f>
        <v>-4.6449999999999998E-3</v>
      </c>
      <c r="C39" s="26">
        <v>1605</v>
      </c>
      <c r="D39" s="28">
        <f>(C39*B39)</f>
        <v>-7.4552249999999995</v>
      </c>
    </row>
    <row r="40" spans="2:16">
      <c r="B40" s="24">
        <v>5.3624520000000002E-2</v>
      </c>
      <c r="C40" s="27">
        <f>(D40/B40)</f>
        <v>1848.9675991505378</v>
      </c>
      <c r="D40" s="28">
        <v>99.15</v>
      </c>
      <c r="E40" t="s">
        <v>18</v>
      </c>
    </row>
    <row r="41" spans="2:16">
      <c r="B41" s="24">
        <v>2.0379600000000001E-2</v>
      </c>
      <c r="C41" s="27">
        <v>2275</v>
      </c>
      <c r="D41" s="28">
        <f>C41*B41</f>
        <v>46.363590000000002</v>
      </c>
      <c r="E41" t="s">
        <v>19</v>
      </c>
    </row>
    <row r="42" spans="2:16">
      <c r="F42" t="s">
        <v>12</v>
      </c>
      <c r="G42" s="27">
        <f>D43/B43</f>
        <v>2696.6245013602061</v>
      </c>
    </row>
    <row r="43" spans="2:16">
      <c r="B43">
        <f>(SUM(B5:B42))</f>
        <v>0.56778854999999995</v>
      </c>
      <c r="D43" s="28">
        <f>(SUM(D5:D42))</f>
        <v>1531.1125155217842</v>
      </c>
    </row>
  </sheetData>
  <conditionalFormatting sqref="C5:C7 C11 C18:C25 C27 C29 C31 C33 C35:C37 C40:C41 G42 O3 O7:O9 O15:O17 O22:O25 O30:O33 S5:S7 S10:S15 S18:S20 S23:S24">
    <cfRule type="cellIs" dxfId="299" priority="39" operator="lessThan">
      <formula>$J$3</formula>
    </cfRule>
    <cfRule type="cellIs" dxfId="298" priority="40" operator="greaterThan">
      <formula>$J$3</formula>
    </cfRule>
  </conditionalFormatting>
  <conditionalFormatting sqref="O3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0.18375801292661201</v>
      </c>
      <c r="M3" t="s">
        <v>4</v>
      </c>
      <c r="N3" s="24">
        <f>(INDEX(N5:N23,MATCH(MAX(O6),O5:O23,0))/0.85)</f>
        <v>14.894117647058824</v>
      </c>
      <c r="O3" s="27">
        <f>(MAX(O6)*0.75)</f>
        <v>0.1668981670616114</v>
      </c>
      <c r="P3" s="46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9.3074702047268012</v>
      </c>
      <c r="K4" s="4">
        <f>(J4/D14-1)</f>
        <v>0.32800270244339935</v>
      </c>
      <c r="R4" t="s">
        <v>5</v>
      </c>
      <c r="S4" t="s">
        <v>6</v>
      </c>
      <c r="T4" t="s">
        <v>7</v>
      </c>
    </row>
    <row r="5" spans="2:21">
      <c r="B5" s="36">
        <v>60.14</v>
      </c>
      <c r="C5" s="26">
        <f>(D5/B5)</f>
        <v>0.16877286331892252</v>
      </c>
      <c r="D5" s="26">
        <v>10.15</v>
      </c>
      <c r="N5" t="s">
        <v>32</v>
      </c>
      <c r="O5" t="s">
        <v>1</v>
      </c>
      <c r="P5" t="s">
        <v>2</v>
      </c>
      <c r="R5" s="36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0.56788075999999998</v>
      </c>
      <c r="C6" s="29">
        <v>0</v>
      </c>
      <c r="D6" s="29">
        <f>(B6*C6)</f>
        <v>0</v>
      </c>
      <c r="E6" s="26">
        <f>(B6*J3)</f>
        <v>0.10435264003685425</v>
      </c>
      <c r="M6" t="s">
        <v>10</v>
      </c>
      <c r="N6" s="36">
        <f>-B11</f>
        <v>12.66</v>
      </c>
      <c r="O6" s="26">
        <f>C11</f>
        <v>0.22253088941548185</v>
      </c>
      <c r="P6" s="26">
        <f>-D11</f>
        <v>2.8172410600000002</v>
      </c>
      <c r="Q6" t="s">
        <v>11</v>
      </c>
      <c r="R6" s="48">
        <f>(B6)</f>
        <v>0.56788075999999998</v>
      </c>
      <c r="S6" s="29">
        <v>0</v>
      </c>
      <c r="T6" s="29">
        <f>(D6)</f>
        <v>0</v>
      </c>
      <c r="U6" s="26">
        <f>(E6)</f>
        <v>0.10435264003685425</v>
      </c>
    </row>
    <row r="7" spans="2:21">
      <c r="B7" s="36">
        <v>-12.028</v>
      </c>
      <c r="C7" s="26">
        <f>(D7/B7)</f>
        <v>0.21200000000000002</v>
      </c>
      <c r="D7" s="26">
        <v>-2.5499360000000002</v>
      </c>
      <c r="N7" s="36">
        <f>2*($B$14-$B$11)/5-N6</f>
        <v>12.664276124000001</v>
      </c>
      <c r="O7" s="26">
        <f>($C$5*[1]Params!K9)</f>
        <v>0.27003658131027602</v>
      </c>
      <c r="P7" s="26">
        <f>(O7*N7)</f>
        <v>3.4198178292943133</v>
      </c>
      <c r="R7" s="36">
        <f>SUM(B7:B10)</f>
        <v>2.6028095500000017</v>
      </c>
      <c r="S7" s="26">
        <v>0</v>
      </c>
      <c r="T7" s="26">
        <f>SUM(D7:D10)</f>
        <v>-0.3241360000000002</v>
      </c>
      <c r="U7" s="27"/>
    </row>
    <row r="8" spans="2:21">
      <c r="B8" s="36">
        <v>-12</v>
      </c>
      <c r="C8" s="26">
        <f>(D8/B8)</f>
        <v>0.255</v>
      </c>
      <c r="D8" s="26">
        <v>-3.06</v>
      </c>
      <c r="N8" s="36">
        <f>($B$14-$B$11)/5</f>
        <v>12.662138062</v>
      </c>
      <c r="O8" s="26">
        <f>($C$5*[1]Params!K10)</f>
        <v>0.37130029930162955</v>
      </c>
      <c r="P8" s="26">
        <f>(O8*N8)</f>
        <v>4.7014556522191562</v>
      </c>
      <c r="R8" s="36">
        <f>B11</f>
        <v>-12.66</v>
      </c>
      <c r="S8" s="26">
        <f>(T8/R8)</f>
        <v>0.22253088941548185</v>
      </c>
      <c r="T8" s="26">
        <f>D11</f>
        <v>-2.8172410600000002</v>
      </c>
    </row>
    <row r="9" spans="2:21">
      <c r="B9" s="36">
        <v>13.39371616</v>
      </c>
      <c r="C9" s="26">
        <f>(D9/B9)</f>
        <v>0.21471262834346938</v>
      </c>
      <c r="D9" s="26">
        <v>2.8757999999999999</v>
      </c>
      <c r="N9" s="36">
        <f>($B$14-$B$11)/5</f>
        <v>12.662138062</v>
      </c>
      <c r="O9" s="26">
        <f>($C$5*[1]Params!K11)</f>
        <v>0.84386431659461258</v>
      </c>
      <c r="P9" s="26">
        <f>(O9*N9)</f>
        <v>10.685126482316262</v>
      </c>
    </row>
    <row r="10" spans="2:21">
      <c r="B10" s="36">
        <v>13.23709339</v>
      </c>
      <c r="C10" s="26">
        <f>(D10/B10)</f>
        <v>0.18206413817557876</v>
      </c>
      <c r="D10" s="26">
        <v>2.41</v>
      </c>
    </row>
    <row r="11" spans="2:21">
      <c r="B11" s="36">
        <v>-12.66</v>
      </c>
      <c r="C11" s="26">
        <f>(D11/B11)</f>
        <v>0.22253088941548185</v>
      </c>
      <c r="D11" s="26">
        <v>-2.8172410600000002</v>
      </c>
    </row>
    <row r="12" spans="2:21">
      <c r="P12" s="26">
        <f>(SUM(P6:P9))</f>
        <v>21.623641023829734</v>
      </c>
    </row>
    <row r="13" spans="2:21">
      <c r="F13" t="s">
        <v>12</v>
      </c>
      <c r="G13" s="26">
        <f>(D14/B14)</f>
        <v>0.13837171610307317</v>
      </c>
    </row>
    <row r="14" spans="2:21">
      <c r="B14" s="36">
        <f>(SUM(B5:B13))</f>
        <v>50.650690310000002</v>
      </c>
      <c r="D14" s="26">
        <f>(SUM(D5:D13))</f>
        <v>7.0086229399999986</v>
      </c>
    </row>
    <row r="17" spans="11:20">
      <c r="N17" s="36"/>
      <c r="R17" s="36">
        <f>(SUM(R5:R16))</f>
        <v>50.650690310000002</v>
      </c>
      <c r="T17" s="26">
        <f>(SUM(T5:T16))</f>
        <v>7.0086229399999986</v>
      </c>
    </row>
    <row r="20" spans="11:20">
      <c r="K20" s="27"/>
    </row>
  </sheetData>
  <conditionalFormatting sqref="C5">
    <cfRule type="cellIs" dxfId="259" priority="15" operator="lessThan">
      <formula>$J$3</formula>
    </cfRule>
    <cfRule type="cellIs" dxfId="258" priority="16" operator="greaterThan">
      <formula>$J$3</formula>
    </cfRule>
  </conditionalFormatting>
  <conditionalFormatting sqref="C9:C10">
    <cfRule type="cellIs" dxfId="257" priority="13" operator="lessThan">
      <formula>$J$3</formula>
    </cfRule>
    <cfRule type="cellIs" dxfId="256" priority="14" operator="greaterThan">
      <formula>$J$3</formula>
    </cfRule>
  </conditionalFormatting>
  <conditionalFormatting sqref="O7:O9">
    <cfRule type="cellIs" dxfId="255" priority="11" operator="lessThan">
      <formula>$J$3</formula>
    </cfRule>
    <cfRule type="cellIs" dxfId="254" priority="12" operator="greaterThan">
      <formula>$J$3</formula>
    </cfRule>
  </conditionalFormatting>
  <conditionalFormatting sqref="S5 S7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G13">
    <cfRule type="cellIs" dxfId="251" priority="3" operator="lessThan">
      <formula>$J$3</formula>
    </cfRule>
    <cfRule type="cellIs" dxfId="250" priority="4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1.3246464757706531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18.662499354353237</v>
      </c>
      <c r="K4" s="4">
        <f>(J4/D14-1)</f>
        <v>-0.53472189784735691</v>
      </c>
      <c r="R4" t="s">
        <v>5</v>
      </c>
      <c r="S4" t="s">
        <v>6</v>
      </c>
      <c r="T4" t="s">
        <v>7</v>
      </c>
    </row>
    <row r="5" spans="2:21">
      <c r="B5" s="36">
        <v>13.438368199999999</v>
      </c>
      <c r="C5" s="26">
        <f>(D5/B5)</f>
        <v>2.9988760093654823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0.58435424000000002</v>
      </c>
      <c r="S5" s="29">
        <v>0</v>
      </c>
      <c r="T5" s="30">
        <f>(D6)</f>
        <v>0</v>
      </c>
      <c r="U5" s="26">
        <f>(R5*J3)</f>
        <v>0.77406278461763844</v>
      </c>
    </row>
    <row r="6" spans="2:21">
      <c r="B6" s="48">
        <v>0.58435424000000002</v>
      </c>
      <c r="C6" s="29">
        <v>0</v>
      </c>
      <c r="D6" s="30">
        <f>(B6*C6)</f>
        <v>0</v>
      </c>
      <c r="E6" s="26">
        <f>(B6*J3)</f>
        <v>0.77406278461763844</v>
      </c>
      <c r="M6" t="s">
        <v>10</v>
      </c>
      <c r="N6" s="36">
        <f>(SUM(R5:R7)/5)</f>
        <v>2.8177328359999998</v>
      </c>
      <c r="O6" s="26">
        <f>($C$5*[1]Params!K8)</f>
        <v>3.898538812175127</v>
      </c>
      <c r="P6" s="26">
        <f>(O6*N6)</f>
        <v>10.98504082348629</v>
      </c>
      <c r="R6" s="36">
        <f>(B5)</f>
        <v>13.438368199999999</v>
      </c>
      <c r="S6" s="26">
        <f>(T6/R6)</f>
        <v>2.9988760093654823</v>
      </c>
      <c r="T6" s="26">
        <f>(D5)</f>
        <v>40.299999999999997</v>
      </c>
      <c r="U6" t="s">
        <v>15</v>
      </c>
    </row>
    <row r="7" spans="2:21">
      <c r="B7" s="36">
        <v>-0.2273</v>
      </c>
      <c r="C7" s="26">
        <f t="shared" ref="C7:C12" si="0">(D7/B7)</f>
        <v>4.95</v>
      </c>
      <c r="D7" s="26">
        <v>-1.125135</v>
      </c>
      <c r="N7" s="36">
        <f>(SUM(R5:R7)/5)</f>
        <v>2.8177328359999998</v>
      </c>
      <c r="O7" s="26">
        <f>($C$5*[1]Params!K9)</f>
        <v>4.7982016149847722</v>
      </c>
      <c r="P7" s="26">
        <f>(O7*N7)</f>
        <v>13.520050244290822</v>
      </c>
      <c r="R7" s="36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0.27693108349718465</v>
      </c>
    </row>
    <row r="8" spans="2:21">
      <c r="B8" s="36">
        <v>-0.30499999999999999</v>
      </c>
      <c r="C8" s="26">
        <f t="shared" si="0"/>
        <v>6.2656189508196727</v>
      </c>
      <c r="D8" s="26">
        <v>-1.91101378</v>
      </c>
      <c r="N8" s="36">
        <f>(SUM(R5:R7)/5)</f>
        <v>2.8177328359999998</v>
      </c>
      <c r="O8" s="26">
        <f>($C$5*[1]Params!K10)</f>
        <v>6.5975272206040616</v>
      </c>
      <c r="P8" s="26">
        <f>(O8*N8)</f>
        <v>18.590069085899877</v>
      </c>
    </row>
    <row r="9" spans="2:21">
      <c r="B9" s="36">
        <v>0.34203370999999999</v>
      </c>
      <c r="C9" s="26">
        <f t="shared" si="0"/>
        <v>5.2626391708583347</v>
      </c>
      <c r="D9" s="26">
        <v>1.8</v>
      </c>
      <c r="N9" s="36">
        <f>(SUM(R5:R7)/5)</f>
        <v>2.8177328359999998</v>
      </c>
      <c r="O9" s="26">
        <f>($C$5*[1]Params!K11)</f>
        <v>14.994380046827411</v>
      </c>
      <c r="P9" s="26">
        <f>(O9*N9)</f>
        <v>42.25015701340881</v>
      </c>
    </row>
    <row r="10" spans="2:21">
      <c r="B10" s="36">
        <v>0.25620802999999998</v>
      </c>
      <c r="C10" s="26">
        <f t="shared" si="0"/>
        <v>4.1372629889859427</v>
      </c>
      <c r="D10" s="26">
        <v>1.06</v>
      </c>
    </row>
    <row r="11" spans="2:21">
      <c r="B11" s="36">
        <v>-0.4</v>
      </c>
      <c r="C11" s="26">
        <f t="shared" si="0"/>
        <v>4.1562849000000002</v>
      </c>
      <c r="D11" s="26">
        <v>-1.6625139600000001</v>
      </c>
      <c r="P11" s="26">
        <f>(SUM(P6:P9))</f>
        <v>85.345317167085796</v>
      </c>
    </row>
    <row r="12" spans="2:21">
      <c r="B12" s="36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2.8469993959356339</v>
      </c>
    </row>
    <row r="14" spans="2:21">
      <c r="B14" s="36">
        <f>(SUM(B5:B13))</f>
        <v>14.08866418</v>
      </c>
      <c r="D14" s="26">
        <f>(SUM(D5:D13))</f>
        <v>40.110418410000001</v>
      </c>
      <c r="R14" s="36">
        <f>(SUM(R5:R13))</f>
        <v>14.088664179999999</v>
      </c>
      <c r="T14" s="26">
        <f>(SUM(T5:T13))</f>
        <v>40.110418409999994</v>
      </c>
    </row>
    <row r="22" spans="4:4">
      <c r="D22" s="36"/>
    </row>
  </sheetData>
  <conditionalFormatting sqref="C5 C7:C12">
    <cfRule type="cellIs" dxfId="247" priority="7" operator="lessThan">
      <formula>$J$3</formula>
    </cfRule>
    <cfRule type="cellIs" dxfId="246" priority="8" operator="greaterThan">
      <formula>$J$3</formula>
    </cfRule>
  </conditionalFormatting>
  <conditionalFormatting sqref="O6:O9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S6:S7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G13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6">
        <v>9.3581593913233014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11.465026479973311</v>
      </c>
      <c r="K4" s="4">
        <f>(J4/D14-1)</f>
        <v>4.8950272641657078E-2</v>
      </c>
    </row>
    <row r="5" spans="2:16">
      <c r="B5" s="36">
        <v>1.1100000000000001</v>
      </c>
      <c r="C5" s="26">
        <f>(D5/B5)</f>
        <v>9.8468468468468462</v>
      </c>
      <c r="D5" s="26">
        <v>10.93</v>
      </c>
      <c r="N5" t="s">
        <v>32</v>
      </c>
      <c r="O5" t="s">
        <v>1</v>
      </c>
      <c r="P5" t="s">
        <v>2</v>
      </c>
    </row>
    <row r="6" spans="2:16">
      <c r="B6" s="36">
        <v>8.7936070000000005E-2</v>
      </c>
      <c r="C6" s="26">
        <v>0</v>
      </c>
      <c r="D6" s="26">
        <f>(B6*C6)</f>
        <v>0</v>
      </c>
      <c r="E6" s="26">
        <f>(B6*J3)</f>
        <v>0.82291975930656325</v>
      </c>
      <c r="M6" t="s">
        <v>10</v>
      </c>
      <c r="N6" s="1">
        <f>(SUM($B$5:$B$7)/5)</f>
        <v>0.24502738200000002</v>
      </c>
      <c r="O6" s="26">
        <f>($C$5*[1]Params!K8)</f>
        <v>12.800900900900901</v>
      </c>
      <c r="P6" s="26">
        <f>(O6*N6)</f>
        <v>3.1365712349891894</v>
      </c>
    </row>
    <row r="7" spans="2:16">
      <c r="B7" s="48">
        <v>2.720084E-2</v>
      </c>
      <c r="C7" s="29">
        <v>0</v>
      </c>
      <c r="D7" s="30">
        <f>(C7*B7)</f>
        <v>0</v>
      </c>
      <c r="E7" s="26">
        <f>(B7*J4)</f>
        <v>0.31185835087751723</v>
      </c>
      <c r="N7" s="1">
        <f>(SUM($B$5:$B$7)/5)</f>
        <v>0.24502738200000002</v>
      </c>
      <c r="O7" s="26">
        <f>($C$5*[1]Params!K9)</f>
        <v>15.754954954954954</v>
      </c>
      <c r="P7" s="26">
        <f>(O7*N7)</f>
        <v>3.8603953661405406</v>
      </c>
    </row>
    <row r="8" spans="2:16">
      <c r="N8" s="1">
        <f>(SUM($B$5:$B$7)/5)</f>
        <v>0.24502738200000002</v>
      </c>
      <c r="O8" s="26">
        <f>($C$5*[1]Params!K10)</f>
        <v>21.663063063063063</v>
      </c>
      <c r="P8" s="26">
        <f>(O8*N8)</f>
        <v>5.3080436284432437</v>
      </c>
    </row>
    <row r="9" spans="2:16">
      <c r="N9" s="1">
        <f>(SUM($B$5:$B$7)/5)</f>
        <v>0.24502738200000002</v>
      </c>
      <c r="O9" s="26">
        <f>($C$5*[1]Params!K11)</f>
        <v>49.234234234234229</v>
      </c>
      <c r="P9" s="26">
        <f>(O9*N9)</f>
        <v>12.063735519189189</v>
      </c>
    </row>
    <row r="12" spans="2:16">
      <c r="P12" s="26">
        <f>(SUM(P6:P9))</f>
        <v>24.368745748762162</v>
      </c>
    </row>
    <row r="13" spans="2:16">
      <c r="F13" t="s">
        <v>12</v>
      </c>
      <c r="G13" s="26">
        <f>(D14/B14)</f>
        <v>8.921451888997451</v>
      </c>
    </row>
    <row r="14" spans="2:16">
      <c r="B14" s="19">
        <f>(SUM(B5:B13))</f>
        <v>1.22513691</v>
      </c>
      <c r="D14" s="26">
        <f>(SUM(D5:D13))</f>
        <v>10.93</v>
      </c>
    </row>
  </sheetData>
  <conditionalFormatting sqref="C5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6:O9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G13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33.101692386199083</v>
      </c>
      <c r="M3" t="s">
        <v>4</v>
      </c>
      <c r="N3" s="24">
        <f>(INDEX(N5:N23,MATCH(MAX(O20:O22,O6:O8),O5:O23,0))/0.85)</f>
        <v>0.59400000000000008</v>
      </c>
      <c r="O3" s="27">
        <f>(MAX(O20:O22,O6:O8)*0.75)</f>
        <v>27.127959685086154</v>
      </c>
      <c r="P3" s="4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45.852792331134502</v>
      </c>
      <c r="K4" s="4">
        <f>(J4/D19-1)</f>
        <v>-88.828201435350366</v>
      </c>
      <c r="R4" t="s">
        <v>5</v>
      </c>
      <c r="S4" t="s">
        <v>6</v>
      </c>
      <c r="T4" t="s">
        <v>7</v>
      </c>
    </row>
    <row r="5" spans="2:22">
      <c r="B5" s="24">
        <v>2.5373158899999999</v>
      </c>
      <c r="C5" s="26">
        <f>(D5/B5)</f>
        <v>15.882925795258389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1.6288339999999998E-2</v>
      </c>
      <c r="S5" s="29">
        <v>0</v>
      </c>
      <c r="T5" s="30">
        <f>(D6)</f>
        <v>0</v>
      </c>
      <c r="U5" s="26">
        <f>(R5*J3)</f>
        <v>0.53917162016182196</v>
      </c>
    </row>
    <row r="6" spans="2:22">
      <c r="B6" s="25">
        <v>1.6288339999999998E-2</v>
      </c>
      <c r="C6" s="29">
        <v>0</v>
      </c>
      <c r="D6" s="30">
        <f>(B6*C6)</f>
        <v>0</v>
      </c>
      <c r="E6" s="26">
        <f>(B6*J3)</f>
        <v>0.53917162016182196</v>
      </c>
      <c r="M6" t="s">
        <v>10</v>
      </c>
      <c r="N6" s="24">
        <f>($B$5+$R$7)/5</f>
        <v>0.51392259400000007</v>
      </c>
      <c r="O6" s="26">
        <f>($C$5*[1]Params!K8)</f>
        <v>20.647803533835905</v>
      </c>
      <c r="P6" s="26">
        <f>(O6*N6)</f>
        <v>10.611372752511317</v>
      </c>
      <c r="Q6" t="s">
        <v>11</v>
      </c>
      <c r="R6" s="24">
        <f>B5+B13+B15+B17</f>
        <v>1.0390158899999999</v>
      </c>
      <c r="S6" s="26">
        <f>(T6/R6)</f>
        <v>16.910360244827437</v>
      </c>
      <c r="T6" s="26">
        <f>D5-(-B13-B15)*15.13+B17*15.25</f>
        <v>17.570132999999998</v>
      </c>
      <c r="U6" t="s">
        <v>15</v>
      </c>
    </row>
    <row r="7" spans="2:22">
      <c r="B7" s="24">
        <v>-7.17E-2</v>
      </c>
      <c r="C7" s="26">
        <f t="shared" ref="C7:C17" si="0">(D7/B7)</f>
        <v>15.79</v>
      </c>
      <c r="D7" s="26">
        <v>-1.1321429999999999</v>
      </c>
      <c r="N7" s="24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4">
        <f>(B7+B11+B8+B9)</f>
        <v>3.2297079999999992E-2</v>
      </c>
      <c r="S7" s="26">
        <v>0</v>
      </c>
      <c r="T7" s="26">
        <f>D7+D11+D8+D9</f>
        <v>-0.2036548899999997</v>
      </c>
      <c r="U7" t="s">
        <v>83</v>
      </c>
      <c r="V7" s="27">
        <f>-T7+R7*J3</f>
        <v>1.2727428971324621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4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4">
        <f>(B10)+B12+B14+B16</f>
        <v>0.29760859999999989</v>
      </c>
      <c r="S8" s="26">
        <f>(T8/R8)</f>
        <v>16.152507017606354</v>
      </c>
      <c r="T8" s="26">
        <f>(D10)-(-B12-B14-B16)*14.31</f>
        <v>4.8071250000000001</v>
      </c>
      <c r="U8" t="str">
        <f>E10</f>
        <v>DCA4</v>
      </c>
    </row>
    <row r="9" spans="2:22">
      <c r="B9" s="24">
        <v>0.12727869999999999</v>
      </c>
      <c r="C9" s="26">
        <f t="shared" si="0"/>
        <v>17.442038612902241</v>
      </c>
      <c r="D9" s="26">
        <v>2.2200000000000002</v>
      </c>
      <c r="N9" s="24">
        <f>4*($B$5+$R$7+R5)/5-N6-N7-N8</f>
        <v>0.55319845400000001</v>
      </c>
      <c r="O9" s="26">
        <f>($S$6*[1]Params!K11)</f>
        <v>84.551801224137193</v>
      </c>
      <c r="P9" s="26">
        <f>(O9*N9)</f>
        <v>46.773925720108004</v>
      </c>
      <c r="R9" s="24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4">
        <v>0.71010859999999998</v>
      </c>
      <c r="C10" s="26">
        <f t="shared" si="0"/>
        <v>15.082200102913838</v>
      </c>
      <c r="D10" s="26">
        <v>10.71</v>
      </c>
      <c r="E10" t="s">
        <v>84</v>
      </c>
      <c r="R10" s="24">
        <f t="shared" si="1"/>
        <v>0</v>
      </c>
      <c r="S10" s="27">
        <v>0</v>
      </c>
      <c r="T10" s="27">
        <f>D13-B13*15.13</f>
        <v>-3.3300066700000004</v>
      </c>
    </row>
    <row r="11" spans="2:22">
      <c r="B11" s="24">
        <v>9.1074379999999996E-2</v>
      </c>
      <c r="C11" s="26">
        <f t="shared" si="0"/>
        <v>11.638838496622212</v>
      </c>
      <c r="D11" s="26">
        <v>1.06</v>
      </c>
      <c r="P11" s="26">
        <f>(SUM(P6:P9))</f>
        <v>87.774757162619323</v>
      </c>
      <c r="R11" s="24">
        <f t="shared" si="1"/>
        <v>0</v>
      </c>
      <c r="S11" s="27">
        <v>0</v>
      </c>
      <c r="T11" s="27">
        <f>D14-B14*14.31</f>
        <v>-1.1646581099999997</v>
      </c>
    </row>
    <row r="12" spans="2:22">
      <c r="B12" s="24">
        <v>-0.13750000000000001</v>
      </c>
      <c r="C12" s="26">
        <f t="shared" si="0"/>
        <v>18.539550399999996</v>
      </c>
      <c r="D12" s="26">
        <v>-2.5491881799999998</v>
      </c>
      <c r="P12" s="26"/>
      <c r="R12" s="24">
        <f t="shared" si="1"/>
        <v>0</v>
      </c>
      <c r="S12" s="27">
        <v>0</v>
      </c>
      <c r="T12" s="27">
        <f>D15-B15*15.13</f>
        <v>-4.611845230000001</v>
      </c>
    </row>
    <row r="13" spans="2:22">
      <c r="B13" s="24">
        <v>-0.49669999999999997</v>
      </c>
      <c r="C13" s="26">
        <f t="shared" si="0"/>
        <v>21.834261465673446</v>
      </c>
      <c r="D13" s="26">
        <v>-10.84507767</v>
      </c>
      <c r="P13" s="26"/>
      <c r="R13" s="24">
        <f t="shared" si="1"/>
        <v>0</v>
      </c>
      <c r="S13" s="27">
        <v>0</v>
      </c>
      <c r="T13" s="27">
        <f>D16-B16*14.31</f>
        <v>-2.4447861399999997</v>
      </c>
    </row>
    <row r="14" spans="2:22">
      <c r="B14" s="24">
        <v>-0.13700000000000001</v>
      </c>
      <c r="C14" s="26">
        <f t="shared" si="0"/>
        <v>22.811154087591238</v>
      </c>
      <c r="D14" s="26">
        <f>-3.12512811</f>
        <v>-3.1251281099999999</v>
      </c>
      <c r="P14" s="26"/>
      <c r="R14" s="24">
        <f t="shared" si="1"/>
        <v>0</v>
      </c>
      <c r="T14" s="27">
        <f>D17-B17*15.25</f>
        <v>-10.562817459999998</v>
      </c>
    </row>
    <row r="15" spans="2:22">
      <c r="B15" s="24">
        <v>-0.49669999999999997</v>
      </c>
      <c r="C15" s="26">
        <f t="shared" si="0"/>
        <v>24.414971270384541</v>
      </c>
      <c r="D15" s="26">
        <v>-12.126916230000001</v>
      </c>
      <c r="P15" s="26"/>
    </row>
    <row r="16" spans="2:22">
      <c r="B16" s="24">
        <v>-0.13800000000000001</v>
      </c>
      <c r="C16" s="26">
        <f t="shared" si="0"/>
        <v>32.025841594202895</v>
      </c>
      <c r="D16" s="26">
        <v>-4.4195661399999997</v>
      </c>
      <c r="P16" s="26"/>
    </row>
    <row r="17" spans="2:20">
      <c r="B17" s="24">
        <v>-0.50490000000000002</v>
      </c>
      <c r="C17" s="26">
        <f t="shared" si="0"/>
        <v>36.170612913448203</v>
      </c>
      <c r="D17" s="26">
        <v>-18.262542459999999</v>
      </c>
      <c r="P17" s="26"/>
    </row>
    <row r="18" spans="2:20">
      <c r="F18" t="s">
        <v>12</v>
      </c>
      <c r="G18" s="26">
        <f>(D19/B19)</f>
        <v>-0.37689138392028865</v>
      </c>
    </row>
    <row r="19" spans="2:20">
      <c r="B19" s="24">
        <f>(SUM(B5:B18))</f>
        <v>1.3852099099999995</v>
      </c>
      <c r="D19" s="26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4">
        <f>(SUM(R5:R18))</f>
        <v>1.3852099099999999</v>
      </c>
      <c r="T19" s="26">
        <f>(SUM(T5:T18))</f>
        <v>-0.5220736800000001</v>
      </c>
    </row>
    <row r="20" spans="2:20">
      <c r="M20" t="s">
        <v>10</v>
      </c>
      <c r="N20" s="24">
        <f>-B12</f>
        <v>0.13750000000000001</v>
      </c>
      <c r="O20" s="26">
        <f>18.6</f>
        <v>18.600000000000001</v>
      </c>
      <c r="P20" s="26">
        <f>-D12</f>
        <v>2.5491881799999998</v>
      </c>
      <c r="Q20" t="s">
        <v>11</v>
      </c>
    </row>
    <row r="21" spans="2:20">
      <c r="N21" s="24">
        <f>-B14</f>
        <v>0.13700000000000001</v>
      </c>
      <c r="O21" s="26">
        <f>C14</f>
        <v>22.811154087591238</v>
      </c>
      <c r="P21" s="26">
        <f>-D14</f>
        <v>3.1251281099999999</v>
      </c>
      <c r="Q21" t="s">
        <v>11</v>
      </c>
    </row>
    <row r="22" spans="2:20">
      <c r="N22" s="24">
        <f>-B16</f>
        <v>0.13800000000000001</v>
      </c>
      <c r="O22" s="26">
        <f>C16</f>
        <v>32.025841594202895</v>
      </c>
      <c r="P22" s="26">
        <f>-D16</f>
        <v>4.4195661399999997</v>
      </c>
      <c r="Q22" t="s">
        <v>11</v>
      </c>
    </row>
    <row r="23" spans="2:20">
      <c r="N23" s="24">
        <f>4*($B$10)/5-N20-N21-N22</f>
        <v>0.15558687999999993</v>
      </c>
      <c r="O23" s="26">
        <f>($S$8*[1]Params!K11)</f>
        <v>80.762535088031768</v>
      </c>
      <c r="P23" s="26">
        <f>(O23*N23)</f>
        <v>12.565590855237382</v>
      </c>
    </row>
    <row r="25" spans="2:20">
      <c r="P25" s="26">
        <f>(SUM(P20:P23))</f>
        <v>22.659473285237382</v>
      </c>
    </row>
    <row r="32" spans="2:20">
      <c r="R32" s="27">
        <f>D19/B19</f>
        <v>-0.37689138392028865</v>
      </c>
    </row>
  </sheetData>
  <conditionalFormatting sqref="C5 C9:C11 G18 O9 O23 S6">
    <cfRule type="cellIs" dxfId="233" priority="19" operator="lessThan">
      <formula>$J$3</formula>
    </cfRule>
    <cfRule type="cellIs" dxfId="232" priority="20" operator="greaterThan">
      <formula>$J$3</formula>
    </cfRule>
  </conditionalFormatting>
  <conditionalFormatting sqref="S8">
    <cfRule type="cellIs" dxfId="231" priority="13" operator="lessThan">
      <formula>$J$3</formula>
    </cfRule>
    <cfRule type="cellIs" dxfId="230" priority="14" operator="greaterThan">
      <formula>$J$3</formula>
    </cfRule>
  </conditionalFormatting>
  <conditionalFormatting sqref="O3">
    <cfRule type="cellIs" dxfId="229" priority="1" operator="greaterThan">
      <formula>$J$3</formula>
    </cfRule>
    <cfRule type="cellIs" dxfId="22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9">
        <v>3.327935344129917E-3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(B13*J3)</f>
        <v>3.1791308375306584</v>
      </c>
      <c r="K4" s="4">
        <f>(J4/D13-1)</f>
        <v>0.1225106332340069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9">
        <f t="shared" ref="C5:C11" si="0">(D5/B5)</f>
        <v>3.3950093362756749E-3</v>
      </c>
      <c r="D5" s="26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9">
        <f>(T5/R5)</f>
        <v>3.3950093362756749E-3</v>
      </c>
      <c r="T5" s="27">
        <f>(D5)</f>
        <v>3</v>
      </c>
    </row>
    <row r="6" spans="2:20">
      <c r="B6" s="19">
        <v>-170.21276596000001</v>
      </c>
      <c r="C6" s="49">
        <f t="shared" si="0"/>
        <v>4.5729766249314055E-3</v>
      </c>
      <c r="D6" s="26">
        <v>-0.77837900000000004</v>
      </c>
      <c r="M6" t="s">
        <v>10</v>
      </c>
      <c r="N6" s="19">
        <f>(($B$5+$R$6)/5)</f>
        <v>191.05724773999998</v>
      </c>
      <c r="O6" s="49">
        <f>($C$5*[1]Params!K8)</f>
        <v>4.4135121371583772E-3</v>
      </c>
      <c r="P6" s="26">
        <f>(O6*N6)</f>
        <v>0.84323348179256485</v>
      </c>
      <c r="R6" s="19">
        <f>(SUM(B6:B11))</f>
        <v>71.63623869999995</v>
      </c>
      <c r="S6" s="49">
        <v>0</v>
      </c>
      <c r="T6" s="27">
        <f>(SUM(D6:D11))</f>
        <v>-0.16783900000000007</v>
      </c>
    </row>
    <row r="7" spans="2:20">
      <c r="B7" s="19">
        <v>-175.57251908000001</v>
      </c>
      <c r="C7" s="49">
        <f t="shared" si="0"/>
        <v>5.0894468262020218E-3</v>
      </c>
      <c r="D7" s="26">
        <v>-0.893567</v>
      </c>
      <c r="N7" s="19">
        <f>(($B$5+$R$6)/5)</f>
        <v>191.05724773999998</v>
      </c>
      <c r="O7" s="49">
        <f>($C$5*[1]Params!K9)</f>
        <v>5.4320149380410803E-3</v>
      </c>
      <c r="P7" s="26">
        <f>(O7*N7)</f>
        <v>1.0378258237446953</v>
      </c>
      <c r="S7" s="49"/>
    </row>
    <row r="8" spans="2:20">
      <c r="B8" s="19">
        <v>-167.78523490000001</v>
      </c>
      <c r="C8" s="49">
        <f t="shared" si="0"/>
        <v>7.2337771599710653E-3</v>
      </c>
      <c r="D8" s="26">
        <v>-1.213721</v>
      </c>
      <c r="N8" s="19">
        <f>(($B$5+$R$6)/5)</f>
        <v>191.05724773999998</v>
      </c>
      <c r="O8" s="49">
        <f>($C$5*[1]Params!K10)</f>
        <v>7.4690205398064849E-3</v>
      </c>
      <c r="P8" s="26">
        <f>(O8*N8)</f>
        <v>1.4270105076489559</v>
      </c>
    </row>
    <row r="9" spans="2:20">
      <c r="B9" s="19">
        <v>196.03891277</v>
      </c>
      <c r="C9" s="49">
        <f t="shared" si="0"/>
        <v>5.7642178485542315E-3</v>
      </c>
      <c r="D9" s="26">
        <v>1.1300110000000001</v>
      </c>
      <c r="N9" s="19">
        <f>(($B$5+$R$6)/5)</f>
        <v>191.05724773999998</v>
      </c>
      <c r="O9" s="49">
        <f>($C$5*[1]Params!K11)</f>
        <v>1.6975046681378374E-2</v>
      </c>
      <c r="P9" s="26">
        <f>(O9*N9)</f>
        <v>3.2432056992021727</v>
      </c>
    </row>
    <row r="10" spans="2:20">
      <c r="B10" s="19">
        <v>197.79050007999999</v>
      </c>
      <c r="C10" s="49">
        <f t="shared" si="0"/>
        <v>4.2977797197346571E-3</v>
      </c>
      <c r="D10" s="26">
        <v>0.85006000000000004</v>
      </c>
    </row>
    <row r="11" spans="2:20">
      <c r="B11" s="19">
        <v>191.37734578999999</v>
      </c>
      <c r="C11" s="49">
        <f t="shared" si="0"/>
        <v>3.8549860588491342E-3</v>
      </c>
      <c r="D11" s="26">
        <v>0.737757</v>
      </c>
    </row>
    <row r="12" spans="2:20">
      <c r="F12" t="s">
        <v>12</v>
      </c>
      <c r="G12" s="49">
        <f>(D13/B13)</f>
        <v>2.9647250062495851E-3</v>
      </c>
      <c r="P12" s="26">
        <f>(SUM(P6:P9))</f>
        <v>6.5512755123883881</v>
      </c>
    </row>
    <row r="13" spans="2:20">
      <c r="B13">
        <f>(SUM(B5:B12))</f>
        <v>955.28623870000001</v>
      </c>
      <c r="D13" s="27">
        <f>(SUM(D5:D12))</f>
        <v>2.8321610000000002</v>
      </c>
    </row>
    <row r="15" spans="2:20">
      <c r="R15">
        <f>(SUM(R5:R14))</f>
        <v>955.2862386999999</v>
      </c>
      <c r="T15" s="27">
        <f>(SUM(T5:T14))</f>
        <v>2.8321610000000002</v>
      </c>
    </row>
    <row r="19" spans="11:11">
      <c r="K19" s="27"/>
    </row>
  </sheetData>
  <conditionalFormatting sqref="C5">
    <cfRule type="cellIs" dxfId="227" priority="17" operator="lessThan">
      <formula>$J$3</formula>
    </cfRule>
    <cfRule type="cellIs" dxfId="226" priority="18" operator="greaterThan">
      <formula>$J$3</formula>
    </cfRule>
  </conditionalFormatting>
  <conditionalFormatting sqref="C9:C11">
    <cfRule type="cellIs" dxfId="225" priority="15" operator="lessThan">
      <formula>$J$3</formula>
    </cfRule>
    <cfRule type="cellIs" dxfId="224" priority="16" operator="greaterThan">
      <formula>$J$3</formula>
    </cfRule>
    <cfRule type="cellIs" dxfId="223" priority="13" operator="lessThan">
      <formula>$J$3</formula>
    </cfRule>
    <cfRule type="cellIs" dxfId="222" priority="14" operator="greaterThan">
      <formula>$J$3</formula>
    </cfRule>
  </conditionalFormatting>
  <conditionalFormatting sqref="O6:O9">
    <cfRule type="cellIs" dxfId="221" priority="11" operator="lessThan">
      <formula>$J$3</formula>
    </cfRule>
    <cfRule type="cellIs" dxfId="220" priority="12" operator="greaterThan">
      <formula>$J$3</formula>
    </cfRule>
    <cfRule type="cellIs" dxfId="219" priority="9" operator="lessThan">
      <formula>$J$3</formula>
    </cfRule>
    <cfRule type="cellIs" dxfId="218" priority="10" operator="greaterThan">
      <formula>$J$3</formula>
    </cfRule>
  </conditionalFormatting>
  <conditionalFormatting sqref="S5">
    <cfRule type="cellIs" dxfId="217" priority="7" operator="lessThan">
      <formula>$J$3</formula>
    </cfRule>
    <cfRule type="cellIs" dxfId="216" priority="8" operator="greaterThan">
      <formula>$J$3</formula>
    </cfRule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G12">
    <cfRule type="cellIs" dxfId="213" priority="3" operator="lessThan">
      <formula>$J$3</formula>
    </cfRule>
    <cfRule type="cellIs" dxfId="212" priority="4" operator="greaterThan">
      <formula>$J$3</formula>
    </cfRule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6">
        <v>299.45591446743168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215.01916574705129</v>
      </c>
      <c r="K4" s="4">
        <f>(J4/D17-1)</f>
        <v>7.2672808674772993E-2</v>
      </c>
      <c r="R4" t="s">
        <v>5</v>
      </c>
      <c r="S4" t="s">
        <v>6</v>
      </c>
      <c r="T4" t="s">
        <v>7</v>
      </c>
    </row>
    <row r="5" spans="2:21">
      <c r="B5" s="50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32</v>
      </c>
      <c r="O5" t="s">
        <v>1</v>
      </c>
      <c r="P5" t="s">
        <v>2</v>
      </c>
      <c r="R5" s="50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0">
        <v>6.6478800000000001E-3</v>
      </c>
      <c r="C6" s="26">
        <v>373</v>
      </c>
      <c r="D6" s="26">
        <f>(C6*B6)</f>
        <v>2.4796592400000002</v>
      </c>
      <c r="M6" t="s">
        <v>10</v>
      </c>
      <c r="N6" s="24">
        <f>($R$8/5)</f>
        <v>0.112786494</v>
      </c>
      <c r="O6" s="26">
        <f>($S$8*[1]Params!K8)</f>
        <v>369.23037965875591</v>
      </c>
      <c r="P6" s="26">
        <f>(O6*N6)</f>
        <v>41.644199999999998</v>
      </c>
      <c r="R6" s="50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0">
        <v>2.3499999999999999E-4</v>
      </c>
      <c r="C7" s="26">
        <v>0</v>
      </c>
      <c r="D7" s="26">
        <v>0</v>
      </c>
      <c r="E7" s="26">
        <f>(B7*J3)</f>
        <v>7.0372139899846448E-2</v>
      </c>
      <c r="I7" t="s">
        <v>10</v>
      </c>
      <c r="J7">
        <v>1</v>
      </c>
      <c r="N7" s="24">
        <f>($R$8/5)</f>
        <v>0.112786494</v>
      </c>
      <c r="O7" s="26">
        <f>($S$8*[1]Params!K9)</f>
        <v>454.43739034923806</v>
      </c>
      <c r="P7" s="26">
        <f>(O7*N7)</f>
        <v>51.254399999999997</v>
      </c>
      <c r="R7" s="50">
        <f>(B7+B8+B10)</f>
        <v>2.7538300000000001E-3</v>
      </c>
      <c r="S7" s="26">
        <f>(C7)</f>
        <v>0</v>
      </c>
      <c r="T7" s="26">
        <f>(R7*S7)</f>
        <v>0</v>
      </c>
    </row>
    <row r="8" spans="2:21">
      <c r="B8" s="50">
        <v>9.4980000000000002E-5</v>
      </c>
      <c r="C8" s="26">
        <v>0</v>
      </c>
      <c r="D8" s="26">
        <v>0</v>
      </c>
      <c r="E8" s="26">
        <f>(B8*J3)</f>
        <v>2.8442322756116661E-2</v>
      </c>
      <c r="I8" t="s">
        <v>13</v>
      </c>
      <c r="J8" s="50">
        <f>(J7-B17)</f>
        <v>0.28196721000000013</v>
      </c>
      <c r="N8" s="24">
        <f>($R$8/5)</f>
        <v>0.112786494</v>
      </c>
      <c r="O8" s="26">
        <f>($S$8*[1]Params!K10)</f>
        <v>624.85141173020236</v>
      </c>
      <c r="P8" s="26">
        <f>(O8*N8)</f>
        <v>70.474800000000002</v>
      </c>
      <c r="R8" s="50">
        <f>(B11)</f>
        <v>0.56393247000000002</v>
      </c>
      <c r="S8" s="26">
        <f>(C11)</f>
        <v>284.02336896827376</v>
      </c>
      <c r="T8" s="26">
        <f>(R8*S8)</f>
        <v>160.16999999999999</v>
      </c>
      <c r="U8" t="s">
        <v>9</v>
      </c>
    </row>
    <row r="9" spans="2:21">
      <c r="B9" s="50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1">
        <f>(J8*J3)</f>
        <v>84.436748720380393</v>
      </c>
      <c r="N9" s="24">
        <f>($R$8/5)</f>
        <v>0.112786494</v>
      </c>
      <c r="O9" s="26">
        <f>($S$8*[1]Params!K11)</f>
        <v>1420.1168448413687</v>
      </c>
      <c r="P9" s="26">
        <f>(O9*N9)</f>
        <v>160.16999999999996</v>
      </c>
      <c r="R9" s="50">
        <f>(B12)</f>
        <v>0.14160212999999999</v>
      </c>
      <c r="S9" s="26">
        <f>(C12)</f>
        <v>284.60023871109848</v>
      </c>
      <c r="T9" s="26">
        <f>(R9*S9)</f>
        <v>40.299999999999997</v>
      </c>
      <c r="U9" t="s">
        <v>15</v>
      </c>
    </row>
    <row r="10" spans="2:21">
      <c r="B10" s="51">
        <v>2.42385E-3</v>
      </c>
      <c r="C10" s="29">
        <v>0</v>
      </c>
      <c r="D10" s="30">
        <v>0</v>
      </c>
      <c r="E10" s="26">
        <f>(B10*J3)</f>
        <v>0.72583621828188427</v>
      </c>
      <c r="P10" s="26"/>
      <c r="R10" s="50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0">
        <v>0.56393247000000002</v>
      </c>
      <c r="C11" s="26">
        <f>(D11/B11)</f>
        <v>284.02336896827376</v>
      </c>
      <c r="D11" s="26">
        <v>160.16999999999999</v>
      </c>
      <c r="E11" t="s">
        <v>9</v>
      </c>
      <c r="P11" s="26">
        <f>(SUM(P6:P9))</f>
        <v>323.54339999999996</v>
      </c>
    </row>
    <row r="12" spans="2:21">
      <c r="B12" s="50">
        <v>0.14160212999999999</v>
      </c>
      <c r="C12" s="26">
        <f>(D12/B12)</f>
        <v>284.60023871109848</v>
      </c>
      <c r="D12" s="26">
        <v>40.299999999999997</v>
      </c>
      <c r="E12" t="s">
        <v>15</v>
      </c>
    </row>
    <row r="13" spans="2:21">
      <c r="B13" s="50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50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4">
        <f>($R$9/5)</f>
        <v>2.8320425999999999E-2</v>
      </c>
      <c r="O14" s="26">
        <f>($S$9*[1]Params!K8)</f>
        <v>369.98031032442805</v>
      </c>
      <c r="P14" s="26">
        <f>(O14*N14)</f>
        <v>10.478</v>
      </c>
    </row>
    <row r="15" spans="2:21">
      <c r="B15" s="50">
        <v>-0.29399999999999998</v>
      </c>
      <c r="C15" s="26">
        <f>(D15/B15)</f>
        <v>244.75500000000002</v>
      </c>
      <c r="D15" s="26">
        <v>-71.957970000000003</v>
      </c>
      <c r="N15" s="24">
        <f>($R$9/5)</f>
        <v>2.8320425999999999E-2</v>
      </c>
      <c r="O15" s="26">
        <f>($S$9*[1]Params!K9)</f>
        <v>455.36038193775761</v>
      </c>
      <c r="P15" s="26">
        <f>(O15*N15)</f>
        <v>12.896000000000001</v>
      </c>
    </row>
    <row r="16" spans="2:21">
      <c r="N16" s="24">
        <f>($R$9/5)</f>
        <v>2.8320425999999999E-2</v>
      </c>
      <c r="O16" s="26">
        <f>($S$9*[1]Params!K10)</f>
        <v>626.12052516441668</v>
      </c>
      <c r="P16" s="26">
        <f>(O16*N16)</f>
        <v>17.731999999999999</v>
      </c>
    </row>
    <row r="17" spans="2:16">
      <c r="B17" s="50">
        <f>(SUM(B5:B16))</f>
        <v>0.71803278999999987</v>
      </c>
      <c r="D17" s="26">
        <f>(SUM(D5:D16))</f>
        <v>200.45177244000001</v>
      </c>
      <c r="F17" t="s">
        <v>12</v>
      </c>
      <c r="G17" s="26">
        <f>(SUM(D5:D16)/SUM(B5:B16))</f>
        <v>279.16799236981927</v>
      </c>
      <c r="N17" s="24">
        <f>($R$9/5)</f>
        <v>2.8320425999999999E-2</v>
      </c>
      <c r="O17" s="26">
        <f>($S$9*[1]Params!K11)</f>
        <v>1423.0011935554924</v>
      </c>
      <c r="P17" s="26">
        <f>(O17*N17)</f>
        <v>40.299999999999997</v>
      </c>
    </row>
    <row r="18" spans="2:16">
      <c r="P18" s="26"/>
    </row>
    <row r="19" spans="2:16">
      <c r="P19" s="26">
        <f>(SUM(P14:P17))</f>
        <v>81.406000000000006</v>
      </c>
    </row>
    <row r="22" spans="2:16">
      <c r="N22" s="24"/>
      <c r="O22" s="26"/>
      <c r="P22" s="26"/>
    </row>
    <row r="23" spans="2:16">
      <c r="N23" s="24"/>
      <c r="O23" s="26"/>
      <c r="P23" s="26"/>
    </row>
    <row r="24" spans="2:16">
      <c r="N24" s="24"/>
      <c r="O24" s="26"/>
      <c r="P24" s="26"/>
    </row>
    <row r="25" spans="2:16">
      <c r="N25" s="24"/>
      <c r="O25" s="26"/>
      <c r="P25" s="26"/>
    </row>
    <row r="26" spans="2:16">
      <c r="P26" s="26"/>
    </row>
    <row r="27" spans="2:16">
      <c r="P27" s="26"/>
    </row>
    <row r="37" spans="18:20">
      <c r="R37" s="50">
        <f>(SUM(R5:R27))</f>
        <v>0.71803278999999998</v>
      </c>
      <c r="T37" s="26">
        <f>(SUM(T5:T27))</f>
        <v>200.45177244000001</v>
      </c>
    </row>
  </sheetData>
  <conditionalFormatting sqref="C5:C6 C9 C11:C14 O6:O9 O14 S5:S6 S8:S9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O15:O17">
    <cfRule type="cellIs" dxfId="207" priority="7" operator="lessThan">
      <formula>$J$3</formula>
    </cfRule>
    <cfRule type="cellIs" dxfId="206" priority="8" operator="greaterThan">
      <formula>$J$3</formula>
    </cfRule>
  </conditionalFormatting>
  <conditionalFormatting sqref="G17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2">
        <v>7.7853587997560758E-2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4.7802063185035966</v>
      </c>
      <c r="K4" s="4">
        <f>(J4/D13-1)</f>
        <v>-4.395873629928071E-2</v>
      </c>
    </row>
    <row r="5" spans="2:16">
      <c r="B5" s="36">
        <v>61.119118389999997</v>
      </c>
      <c r="C5" s="46">
        <f>(D5/B5)</f>
        <v>8.1807462733593267E-2</v>
      </c>
      <c r="D5" s="26">
        <v>5</v>
      </c>
      <c r="N5" t="s">
        <v>32</v>
      </c>
      <c r="O5" t="s">
        <v>1</v>
      </c>
      <c r="P5" t="s">
        <v>2</v>
      </c>
    </row>
    <row r="6" spans="2:16">
      <c r="B6" s="48">
        <v>0.28083043000000002</v>
      </c>
      <c r="C6" s="29">
        <v>0</v>
      </c>
      <c r="D6" s="30">
        <f>(B6*C6)</f>
        <v>0</v>
      </c>
      <c r="E6" s="26">
        <f>(B6*J3)</f>
        <v>2.1863656594397828E-2</v>
      </c>
      <c r="M6" t="s">
        <v>10</v>
      </c>
      <c r="N6" s="36">
        <f>($B$13/5)</f>
        <v>12.279989764</v>
      </c>
      <c r="O6" s="26">
        <f>($C$5*[1]Params!K8)</f>
        <v>0.10634970155367125</v>
      </c>
      <c r="P6" s="26">
        <f>(O6*N6)</f>
        <v>1.3059732464835379</v>
      </c>
    </row>
    <row r="7" spans="2:16">
      <c r="N7" s="36">
        <f>($B$13/5)</f>
        <v>12.279989764</v>
      </c>
      <c r="O7" s="26">
        <f>($C$5*[1]Params!K9)</f>
        <v>0.13089194037374924</v>
      </c>
      <c r="P7" s="26">
        <f>(O7*N7)</f>
        <v>1.6073516879797389</v>
      </c>
    </row>
    <row r="8" spans="2:16">
      <c r="N8" s="36">
        <f>($B$13/5)</f>
        <v>12.279989764</v>
      </c>
      <c r="O8" s="26">
        <f>($C$5*[1]Params!K10)</f>
        <v>0.17997641801390521</v>
      </c>
      <c r="P8" s="26">
        <f>(O8*N8)</f>
        <v>2.2101085709721411</v>
      </c>
    </row>
    <row r="9" spans="2:16">
      <c r="N9" s="36">
        <f>($B$13/5)</f>
        <v>12.279989764</v>
      </c>
      <c r="O9" s="26">
        <f>($C$5*[1]Params!K11)</f>
        <v>0.40903731366796636</v>
      </c>
      <c r="P9" s="26">
        <f>(O9*N9)</f>
        <v>5.0229740249366843</v>
      </c>
    </row>
    <row r="11" spans="2:16">
      <c r="P11" s="26">
        <f>(SUM(P6:P9))</f>
        <v>10.146407530372102</v>
      </c>
    </row>
    <row r="12" spans="2:16">
      <c r="F12" t="s">
        <v>12</v>
      </c>
      <c r="G12" s="26">
        <f>(D13/B13)</f>
        <v>8.1433292634461196E-2</v>
      </c>
    </row>
    <row r="13" spans="2:16">
      <c r="B13" s="36">
        <f>(SUM(B5:B12))</f>
        <v>61.399948819999999</v>
      </c>
      <c r="D13" s="26">
        <f>(SUM(D5:D12))</f>
        <v>5</v>
      </c>
    </row>
  </sheetData>
  <conditionalFormatting sqref="O6:O9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C5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2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R8" sqref="R8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6.9568393405842306</v>
      </c>
      <c r="M3" t="s">
        <v>4</v>
      </c>
      <c r="N3" s="24">
        <f>(INDEX(N5:N17,MATCH(MAX(O6),O5:O17,0))/0.85)</f>
        <v>1.6154117647058823</v>
      </c>
      <c r="O3" s="27">
        <f>(MAX(O6)*0.75)</f>
        <v>5.4043818112300634</v>
      </c>
      <c r="P3" s="46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42.547001534000586</v>
      </c>
      <c r="K4" s="4">
        <f>(J4/D15-1)</f>
        <v>0.43903533577911924</v>
      </c>
      <c r="R4" t="s">
        <v>5</v>
      </c>
      <c r="S4" t="s">
        <v>6</v>
      </c>
      <c r="T4" t="s">
        <v>7</v>
      </c>
    </row>
    <row r="5" spans="2:21">
      <c r="B5" s="24">
        <v>7.1567479000000001</v>
      </c>
      <c r="C5" s="26">
        <f>(D5/B5)</f>
        <v>5.6310492647086248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7.44229E-2</v>
      </c>
      <c r="S5" s="29">
        <v>0</v>
      </c>
      <c r="T5" s="30">
        <f>(D6)</f>
        <v>0</v>
      </c>
      <c r="U5">
        <f>(R5*J3)</f>
        <v>0.51774815856036616</v>
      </c>
    </row>
    <row r="6" spans="2:21">
      <c r="B6" s="25">
        <v>7.44229E-2</v>
      </c>
      <c r="C6" s="29">
        <v>0</v>
      </c>
      <c r="D6" s="30">
        <f>(B6*C6)</f>
        <v>0</v>
      </c>
      <c r="E6" s="26">
        <f>(B6*J3)</f>
        <v>0.51774815856036616</v>
      </c>
      <c r="M6" t="s">
        <v>10</v>
      </c>
      <c r="N6" s="24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4">
        <f>B5+B11</f>
        <v>5.7836479000000001</v>
      </c>
      <c r="S6" s="26">
        <f>(T6/R6)</f>
        <v>5.6526653360070549</v>
      </c>
      <c r="T6" s="26">
        <f>D5+B11*5.54</f>
        <v>32.693025999999996</v>
      </c>
      <c r="U6" t="s">
        <v>15</v>
      </c>
    </row>
    <row r="7" spans="2:21">
      <c r="B7" s="24">
        <v>0.11156135</v>
      </c>
      <c r="C7" s="26">
        <f>(D7/B7)</f>
        <v>4.4818389164347687</v>
      </c>
      <c r="D7" s="26">
        <v>0.5</v>
      </c>
      <c r="N7" s="24">
        <f>2*($B$15+$N$6)/5-$N$6</f>
        <v>1.6224809000000002</v>
      </c>
      <c r="O7" s="26">
        <f>($C$5*[1]Params!K9)</f>
        <v>9.0096788235338003</v>
      </c>
      <c r="P7" s="26">
        <f>(O7*N7)</f>
        <v>14.618031806318063</v>
      </c>
      <c r="R7" s="24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4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4">
        <f>2*($B$15+$N$6)/5-$N$6</f>
        <v>1.6224809000000002</v>
      </c>
      <c r="O8" s="26">
        <f>($C$5*[1]Params!K10)</f>
        <v>12.388308382358975</v>
      </c>
      <c r="P8" s="26">
        <f>(O8*N8)</f>
        <v>20.099793733687338</v>
      </c>
      <c r="R8" s="24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4">
        <f>2*($B$15+$N$6)/5-$N$6</f>
        <v>1.6224809000000002</v>
      </c>
      <c r="O9" s="26">
        <f>($C$5*[1]Params!K11)</f>
        <v>28.155246323543125</v>
      </c>
      <c r="P9" s="26">
        <f>(O9*N9)</f>
        <v>45.681349394743947</v>
      </c>
      <c r="R9" s="24">
        <f>B11-B11</f>
        <v>0</v>
      </c>
      <c r="S9" s="26">
        <v>0</v>
      </c>
      <c r="T9" s="27">
        <f>D11-B11*5.54</f>
        <v>-2.2873682200000003</v>
      </c>
    </row>
    <row r="10" spans="2:21">
      <c r="B10" s="24">
        <v>0.21193237000000001</v>
      </c>
      <c r="C10" s="26">
        <f>D10/B10</f>
        <v>5.0487804199047082</v>
      </c>
      <c r="D10" s="26">
        <v>1.07</v>
      </c>
      <c r="N10" s="24"/>
      <c r="P10" s="26"/>
      <c r="R10" s="24"/>
      <c r="S10" s="26"/>
      <c r="T10" s="27"/>
    </row>
    <row r="11" spans="2:21">
      <c r="B11" s="24">
        <v>-1.3731</v>
      </c>
      <c r="C11" s="26">
        <f>(D11/B11)</f>
        <v>7.2058424149734179</v>
      </c>
      <c r="D11" s="26">
        <f>-9.89434222</f>
        <v>-9.8943422200000004</v>
      </c>
      <c r="N11" s="24"/>
      <c r="P11" s="26"/>
    </row>
    <row r="12" spans="2:21">
      <c r="B12" s="24">
        <v>-1.53</v>
      </c>
      <c r="C12" s="26">
        <f>(D12/B12)</f>
        <v>9.0102145686274504</v>
      </c>
      <c r="D12" s="26">
        <v>-13.78562829</v>
      </c>
      <c r="N12" s="24"/>
      <c r="P12" s="26">
        <f>(SUM(P6:P9))</f>
        <v>90.293517154749352</v>
      </c>
    </row>
    <row r="13" spans="2:21">
      <c r="B13" s="24">
        <v>1.7</v>
      </c>
      <c r="C13" s="26">
        <f>(D13/B13)</f>
        <v>7.4423309411764702</v>
      </c>
      <c r="D13" s="26">
        <v>12.651962599999999</v>
      </c>
      <c r="N13" s="24"/>
      <c r="P13" s="26"/>
    </row>
    <row r="14" spans="2:21">
      <c r="F14" t="s">
        <v>12</v>
      </c>
      <c r="G14" s="26">
        <f>(D15/B15)</f>
        <v>4.8343770077179338</v>
      </c>
      <c r="N14" s="24"/>
      <c r="P14" s="26"/>
      <c r="R14" s="24">
        <f>(SUM(R5:R12))</f>
        <v>6.1158522499999997</v>
      </c>
      <c r="T14" s="26">
        <f>(SUM(T5:T12))</f>
        <v>29.566335499999994</v>
      </c>
    </row>
    <row r="15" spans="2:21">
      <c r="B15">
        <f>(SUM(B5:B14))</f>
        <v>6.1158522500000005</v>
      </c>
      <c r="D15" s="26">
        <f>(SUM(D5:D14))</f>
        <v>29.566335499999994</v>
      </c>
    </row>
    <row r="16" spans="2:21">
      <c r="N16" s="24"/>
      <c r="O16" s="26"/>
      <c r="P16" s="26"/>
    </row>
    <row r="17" spans="7:16">
      <c r="N17" s="24"/>
      <c r="O17" s="26"/>
      <c r="P17" s="26"/>
    </row>
    <row r="18" spans="7:16">
      <c r="N18" s="24"/>
      <c r="O18" s="26"/>
      <c r="P18" s="26"/>
    </row>
    <row r="19" spans="7:16">
      <c r="N19" s="24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97" priority="19" operator="lessThan">
      <formula>$J$3</formula>
    </cfRule>
    <cfRule type="cellIs" dxfId="196" priority="20" operator="greaterThan">
      <formula>$J$3</formula>
    </cfRule>
  </conditionalFormatting>
  <conditionalFormatting sqref="O3">
    <cfRule type="cellIs" dxfId="195" priority="3" operator="greaterThan">
      <formula>$J$3</formula>
    </cfRule>
    <cfRule type="cellIs" dxfId="194" priority="4" operator="lessThan">
      <formula>$J$3</formula>
    </cfRule>
  </conditionalFormatting>
  <conditionalFormatting sqref="C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K31" sqref="K3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51.152640028450342</v>
      </c>
      <c r="M3" t="s">
        <v>4</v>
      </c>
      <c r="N3" s="24">
        <f>(INDEX(N5:N16,MATCH(MAX(O6),O5:O16,0))/0.85)</f>
        <v>2.9117647058823533E-2</v>
      </c>
      <c r="O3" s="27">
        <f>(MAX(O6)*0.75)</f>
        <v>43.077097272727272</v>
      </c>
      <c r="P3" s="46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5.3244245902893672</v>
      </c>
      <c r="K4" s="4">
        <f>(J4/D13-1)</f>
        <v>0.40696636191327795</v>
      </c>
      <c r="R4" t="s">
        <v>5</v>
      </c>
      <c r="S4" t="s">
        <v>6</v>
      </c>
      <c r="T4" t="s">
        <v>7</v>
      </c>
    </row>
    <row r="5" spans="2:20">
      <c r="B5" s="24">
        <v>0.12084767</v>
      </c>
      <c r="C5" s="26">
        <v>43.03</v>
      </c>
      <c r="D5" s="26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5">
        <v>2.9479300000000001E-3</v>
      </c>
      <c r="C6" s="29">
        <v>0</v>
      </c>
      <c r="D6" s="30">
        <f>(B6*C6)</f>
        <v>0</v>
      </c>
      <c r="E6" s="26">
        <f>(B6*J3)</f>
        <v>0.15079440211906961</v>
      </c>
      <c r="M6" t="s">
        <v>10</v>
      </c>
      <c r="N6" s="24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2.9479300000000001E-3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4">
        <f>2*($B$13-$B$7)/5+$B$7</f>
        <v>2.6785580000000003E-2</v>
      </c>
      <c r="O7" s="26">
        <f>($C$5*[1]Params!K9)</f>
        <v>68.847999999999999</v>
      </c>
      <c r="P7" s="26">
        <f>(O7*N7)</f>
        <v>1.8441336118400002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4">
        <f>-0.0247</f>
        <v>-2.47E-2</v>
      </c>
      <c r="C8" s="26">
        <f>D8/B8</f>
        <v>68.849477327935219</v>
      </c>
      <c r="D8" s="26">
        <v>-1.7005820899999999</v>
      </c>
      <c r="N8" s="24">
        <f>2*($B$13-$B$7)/5+$B$7</f>
        <v>2.6785580000000003E-2</v>
      </c>
      <c r="O8" s="26">
        <f>($C$5*[1]Params!K10)</f>
        <v>94.666000000000011</v>
      </c>
      <c r="P8" s="26">
        <f>(O8*N8)</f>
        <v>2.5356837162800008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4">
        <f>0.02974335</f>
        <v>2.9743350000000002E-2</v>
      </c>
      <c r="C9" s="26">
        <f>D9/B9</f>
        <v>57.372690029872217</v>
      </c>
      <c r="D9" s="26">
        <v>1.706456</v>
      </c>
      <c r="N9" s="24">
        <f>2*($B$13-$B$7)/5+$B$7</f>
        <v>2.6785580000000003E-2</v>
      </c>
      <c r="O9" s="26">
        <f>($C$5*[1]Params!K11)</f>
        <v>215.15</v>
      </c>
      <c r="P9" s="26">
        <f>(O9*N9)</f>
        <v>5.7629175370000008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11.564279075120002</v>
      </c>
      <c r="R11" s="1"/>
      <c r="S11" s="26"/>
      <c r="T11" s="27"/>
    </row>
    <row r="12" spans="2:20">
      <c r="F12" t="s">
        <v>12</v>
      </c>
      <c r="G12" s="26">
        <f>(D13/B13)</f>
        <v>36.356690119364259</v>
      </c>
    </row>
    <row r="13" spans="2:20">
      <c r="B13">
        <f>(SUM(B5:B12))</f>
        <v>0.10408895000000001</v>
      </c>
      <c r="D13" s="26">
        <f>(SUM(D5:D12))</f>
        <v>3.7843297000000007</v>
      </c>
    </row>
    <row r="22" spans="18:20">
      <c r="R22">
        <f>(SUM(R5:R21))</f>
        <v>0.10408895000000001</v>
      </c>
      <c r="T22" s="26">
        <f>(SUM(T5:T21))</f>
        <v>3.7843297000000002</v>
      </c>
    </row>
  </sheetData>
  <conditionalFormatting sqref="C5">
    <cfRule type="cellIs" dxfId="191" priority="13" operator="lessThan">
      <formula>$J$3</formula>
    </cfRule>
    <cfRule type="cellIs" dxfId="190" priority="14" operator="greaterThan">
      <formula>$J$3</formula>
    </cfRule>
  </conditionalFormatting>
  <conditionalFormatting sqref="O7:O9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G12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O3">
    <cfRule type="cellIs" dxfId="185" priority="5" operator="greaterThan">
      <formula>$J$3</formula>
    </cfRule>
    <cfRule type="cellIs" dxfId="184" priority="6" operator="lessThan">
      <formula>$J$3</formula>
    </cfRule>
  </conditionalFormatting>
  <conditionalFormatting sqref="S5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C9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6">
        <v>0.15768930388995289</v>
      </c>
      <c r="M3" t="s">
        <v>4</v>
      </c>
      <c r="N3" s="36">
        <f>(INDEX(N5:N29,MATCH(MAX(O6:O8),O5:O29,0))/0.85)</f>
        <v>18.528963141176472</v>
      </c>
      <c r="O3" s="53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4.2477283937466108</v>
      </c>
      <c r="K4" s="4">
        <f>(J4/D14-1)</f>
        <v>-7.5017279259211929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6">
        <f t="shared" ref="C5:C10" si="0">(D5/B5)</f>
        <v>6.3062636964164656E-2</v>
      </c>
      <c r="D5" s="26">
        <v>4</v>
      </c>
      <c r="E5" t="s">
        <v>85</v>
      </c>
      <c r="N5" t="s">
        <v>32</v>
      </c>
      <c r="O5" t="s">
        <v>1</v>
      </c>
      <c r="P5" t="s">
        <v>2</v>
      </c>
      <c r="R5" s="36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9">
        <v>-12.25728155</v>
      </c>
      <c r="C6" s="46">
        <f t="shared" si="0"/>
        <v>8.0228066556894906E-2</v>
      </c>
      <c r="D6" s="26">
        <v>-0.98337799999999997</v>
      </c>
      <c r="M6" t="s">
        <v>10</v>
      </c>
      <c r="N6" s="36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6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9">
        <v>-12.70325203</v>
      </c>
      <c r="C7" s="46">
        <f t="shared" si="0"/>
        <v>9.5823336979011353E-2</v>
      </c>
      <c r="D7" s="26">
        <v>-1.217268</v>
      </c>
      <c r="N7" s="36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6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9">
        <v>-12.62063846</v>
      </c>
      <c r="C8" s="46">
        <f t="shared" si="0"/>
        <v>0.13122973178014641</v>
      </c>
      <c r="D8" s="26">
        <v>-1.6562030000000001</v>
      </c>
      <c r="N8" s="36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6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9">
        <v>15.037158760000001</v>
      </c>
      <c r="C9" s="46">
        <f t="shared" si="0"/>
        <v>0.103022321219411</v>
      </c>
      <c r="D9" s="26">
        <v>1.5491630000000001</v>
      </c>
      <c r="N9" s="36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4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9">
        <v>14.46759533</v>
      </c>
      <c r="C10" s="46">
        <f t="shared" si="0"/>
        <v>7.9516600634695803E-2</v>
      </c>
      <c r="D10" s="26">
        <v>1.150414</v>
      </c>
      <c r="N10" s="36"/>
      <c r="O10" s="26"/>
      <c r="P10" s="26"/>
      <c r="R10" s="24"/>
      <c r="S10" s="26"/>
      <c r="T10" s="26"/>
    </row>
    <row r="11" spans="2:20">
      <c r="B11" s="19">
        <v>-12.55901794</v>
      </c>
      <c r="C11" s="46">
        <f>D11/B11</f>
        <v>0.10304619407208204</v>
      </c>
      <c r="D11" s="26">
        <f>-1.294159</f>
        <v>-1.2941590000000001</v>
      </c>
      <c r="N11" s="36"/>
      <c r="O11" s="26"/>
      <c r="P11" s="26"/>
      <c r="R11" s="24"/>
      <c r="S11" s="26"/>
      <c r="T11" s="26"/>
    </row>
    <row r="12" spans="2:20">
      <c r="B12" s="19">
        <v>-15.856236790000001</v>
      </c>
      <c r="C12" s="46">
        <f>D12/B12</f>
        <v>0.13886598876907916</v>
      </c>
      <c r="D12" s="26">
        <v>-2.201892</v>
      </c>
      <c r="N12" s="36"/>
      <c r="O12" s="26"/>
      <c r="P12" s="26"/>
      <c r="R12" s="24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P13" s="26">
        <f>(SUM(P6:P9))</f>
        <v>8.6926426503492067</v>
      </c>
      <c r="R13" s="24"/>
      <c r="S13" s="26"/>
      <c r="T13" s="26"/>
    </row>
    <row r="14" spans="2:20">
      <c r="B14" s="19">
        <f>(SUM(B5:B13))</f>
        <v>26.937327320000005</v>
      </c>
      <c r="C14" s="26"/>
      <c r="D14" s="26">
        <f>(SUM(D5:D13))</f>
        <v>-0.65332299999999988</v>
      </c>
      <c r="O14" s="26"/>
      <c r="R14" s="24"/>
      <c r="S14" s="26"/>
      <c r="T14" s="26"/>
    </row>
    <row r="15" spans="2:20">
      <c r="R15" s="24"/>
      <c r="S15" s="26"/>
      <c r="T15" s="26"/>
    </row>
    <row r="16" spans="2:20">
      <c r="R16" s="24"/>
      <c r="S16" s="26"/>
      <c r="T16" s="26"/>
    </row>
    <row r="17" spans="12:22">
      <c r="R17" s="24"/>
      <c r="S17" s="26"/>
      <c r="T17" s="26"/>
    </row>
    <row r="18" spans="12:22">
      <c r="R18" s="24"/>
      <c r="S18" s="26"/>
      <c r="T18" s="26"/>
    </row>
    <row r="19" spans="12:22">
      <c r="R19" s="24"/>
      <c r="S19" s="26"/>
      <c r="T19" s="26"/>
    </row>
    <row r="20" spans="12:22">
      <c r="R20" s="24"/>
      <c r="S20" s="26"/>
      <c r="T20" s="26"/>
    </row>
    <row r="21" spans="12:22">
      <c r="R21" s="24"/>
      <c r="S21" s="26"/>
      <c r="T21" s="26"/>
    </row>
    <row r="22" spans="12:22">
      <c r="R22" s="24"/>
      <c r="S22" s="26"/>
      <c r="T22" s="26"/>
    </row>
    <row r="23" spans="12:22">
      <c r="R23" s="24"/>
      <c r="S23" s="26"/>
      <c r="T23" s="26"/>
    </row>
    <row r="24" spans="12:22">
      <c r="R24" s="24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4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workbookViewId="0">
      <selection activeCell="B30" sqref="B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2" max="12" width="9.140625" style="14" customWidth="1"/>
    <col min="14" max="14" width="12" style="14" bestFit="1" customWidth="1"/>
    <col min="15" max="15" width="12.5703125" style="14" bestFit="1" customWidth="1"/>
    <col min="20" max="20" width="11.57031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44018.52575224224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1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(B38*J3)</f>
        <v>1288.4843148894413</v>
      </c>
      <c r="K4" s="4">
        <f>(J4/D38-1)</f>
        <v>0.8666765023690306</v>
      </c>
      <c r="L4" s="4"/>
      <c r="S4" t="s">
        <v>5</v>
      </c>
      <c r="T4" t="s">
        <v>6</v>
      </c>
      <c r="U4" t="s">
        <v>7</v>
      </c>
    </row>
    <row r="5" spans="2:21">
      <c r="B5" s="24">
        <v>3.9998300000000002E-3</v>
      </c>
      <c r="C5" s="26">
        <v>41500</v>
      </c>
      <c r="D5" s="26">
        <f>(B5*C5)</f>
        <v>165.99294500000002</v>
      </c>
      <c r="S5" s="24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5">
        <v>3.5174000000000002E-4</v>
      </c>
      <c r="C6" s="29">
        <v>0</v>
      </c>
      <c r="D6" s="30">
        <f>(B6*C6)</f>
        <v>0</v>
      </c>
      <c r="E6" s="26">
        <f>(B6*J3)</f>
        <v>15.483076248093687</v>
      </c>
      <c r="I6" t="s">
        <v>10</v>
      </c>
      <c r="J6">
        <v>0.03</v>
      </c>
      <c r="S6" s="24">
        <f t="shared" si="0"/>
        <v>3.5174000000000002E-4</v>
      </c>
      <c r="T6" s="26">
        <v>0</v>
      </c>
      <c r="U6" s="26">
        <f>(S6*T6)</f>
        <v>0</v>
      </c>
    </row>
    <row r="7" spans="2:21">
      <c r="B7" s="24">
        <v>5.1073000000000004E-4</v>
      </c>
      <c r="C7" s="26">
        <f>D7/B7</f>
        <v>30544.514714232566</v>
      </c>
      <c r="D7" s="26">
        <v>15.6</v>
      </c>
      <c r="I7" t="s">
        <v>13</v>
      </c>
      <c r="J7" s="32">
        <f>(J6-B38)</f>
        <v>7.2858999999999424E-4</v>
      </c>
      <c r="N7" t="s">
        <v>0</v>
      </c>
      <c r="O7" t="s">
        <v>1</v>
      </c>
      <c r="P7" t="s">
        <v>2</v>
      </c>
      <c r="S7" s="24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4">
        <v>4.9108299999999997E-3</v>
      </c>
      <c r="C8" s="26">
        <f>D8/B8</f>
        <v>21381.314360301621</v>
      </c>
      <c r="D8" s="26">
        <v>105</v>
      </c>
      <c r="I8" t="s">
        <v>14</v>
      </c>
      <c r="J8" s="31">
        <f>(J7*J3)</f>
        <v>32.071457677825919</v>
      </c>
      <c r="M8" t="s">
        <v>10</v>
      </c>
      <c r="N8">
        <f>($B$16/5)</f>
        <v>3.3600000000000004E-4</v>
      </c>
      <c r="O8" s="26">
        <f>(C26)</f>
        <v>20979.026577380951</v>
      </c>
      <c r="P8" s="31">
        <f>(O8*N8)</f>
        <v>7.0489529300000004</v>
      </c>
      <c r="Q8" t="s">
        <v>11</v>
      </c>
      <c r="S8" s="24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4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1">
        <f>(O9*N9)</f>
        <v>11.168653440000002</v>
      </c>
      <c r="S9" s="24">
        <f t="shared" si="0"/>
        <v>2E-3</v>
      </c>
      <c r="T9" s="26">
        <f>(U9/S9)</f>
        <v>21750</v>
      </c>
      <c r="U9" s="26" t="s">
        <v>22</v>
      </c>
    </row>
    <row r="10" spans="2:21">
      <c r="B10" s="24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1">
        <f>(O10*N10)</f>
        <v>22.337306880000003</v>
      </c>
      <c r="S10" s="24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4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1">
        <f>(O11*N11)</f>
        <v>44.674613760000007</v>
      </c>
      <c r="S11" s="24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4">
        <v>6.4000000000000005E-4</v>
      </c>
      <c r="C12" s="26">
        <v>19169.310000000001</v>
      </c>
      <c r="D12" s="26">
        <f t="shared" si="1"/>
        <v>12.268358400000002</v>
      </c>
      <c r="S12" s="24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4">
        <v>-5.0000000000000001E-4</v>
      </c>
      <c r="C13" s="26">
        <v>20709.080000000002</v>
      </c>
      <c r="D13" s="26">
        <f t="shared" si="1"/>
        <v>-10.354540000000002</v>
      </c>
      <c r="P13" s="31">
        <f>(SUM(P8:P11))</f>
        <v>85.229527010000012</v>
      </c>
      <c r="S13" s="24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4">
        <v>5.4000000000000001E-4</v>
      </c>
      <c r="C14" s="26">
        <v>19000</v>
      </c>
      <c r="D14" s="26">
        <f t="shared" si="1"/>
        <v>10.26</v>
      </c>
      <c r="S14" s="24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4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4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4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1">
        <f>(O16*N16)</f>
        <v>3.030184888888888</v>
      </c>
      <c r="Q16" t="s">
        <v>11</v>
      </c>
      <c r="S16" s="24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4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1">
        <f>(O17*N17)</f>
        <v>3.1545880434782605</v>
      </c>
      <c r="Q17" t="s">
        <v>11</v>
      </c>
      <c r="S17" s="24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4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1">
        <f>(O18*N18)</f>
        <v>4.2212113439999994</v>
      </c>
      <c r="Q18" t="s">
        <v>11</v>
      </c>
      <c r="S18" s="24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4">
        <v>5.9999999999999897E-4</v>
      </c>
      <c r="C19" s="26">
        <f t="shared" si="3"/>
        <v>16700.000000000029</v>
      </c>
      <c r="D19" s="26">
        <v>10.02</v>
      </c>
      <c r="F19" s="24"/>
      <c r="I19" s="27"/>
      <c r="N19">
        <f>($B$17/5)</f>
        <v>1.8426799999999999E-4</v>
      </c>
      <c r="O19" s="26">
        <f>($C$17*[1]Params!K18)</f>
        <v>89955.933748670417</v>
      </c>
      <c r="P19" s="31">
        <f>(O19*N19)</f>
        <v>16.576000000000001</v>
      </c>
      <c r="S19" s="24">
        <f>(B23+B32)</f>
        <v>6.6544799999999999E-3</v>
      </c>
      <c r="T19" s="26">
        <f t="shared" si="2"/>
        <v>24890.900385905432</v>
      </c>
      <c r="U19" s="26">
        <f>(D23+17438.6*B32)</f>
        <v>165.63599879999998</v>
      </c>
      <c r="V19" t="s">
        <v>9</v>
      </c>
    </row>
    <row r="20" spans="2:27">
      <c r="B20" s="24">
        <v>9.1330000000000003E-4</v>
      </c>
      <c r="C20" s="26">
        <f t="shared" si="3"/>
        <v>17080.915361874519</v>
      </c>
      <c r="D20" s="26">
        <v>15.6</v>
      </c>
      <c r="S20" s="24">
        <f>(B24+B31)</f>
        <v>1.5015200000000001E-3</v>
      </c>
      <c r="T20" s="26">
        <f t="shared" si="2"/>
        <v>26174.62398103255</v>
      </c>
      <c r="U20" s="26">
        <f>(D24+17211.7*B31)</f>
        <v>39.301721399999998</v>
      </c>
      <c r="V20" t="s">
        <v>15</v>
      </c>
    </row>
    <row r="21" spans="2:27">
      <c r="B21" s="24">
        <v>-1.84E-4</v>
      </c>
      <c r="C21" s="26">
        <f t="shared" si="3"/>
        <v>17119.565217391304</v>
      </c>
      <c r="D21" s="26">
        <v>-3.15</v>
      </c>
      <c r="P21" s="31">
        <f>(SUM(P16:P19))</f>
        <v>26.98198427636715</v>
      </c>
      <c r="S21" s="24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4">
        <v>5.8E-4</v>
      </c>
      <c r="C22" s="26">
        <f t="shared" si="3"/>
        <v>17034.482758620692</v>
      </c>
      <c r="D22" s="26">
        <v>9.8800000000000008</v>
      </c>
      <c r="S22" s="24">
        <f>(B31-B31)</f>
        <v>0</v>
      </c>
      <c r="T22" s="26">
        <v>0</v>
      </c>
      <c r="U22" s="26">
        <f>(17211.7*-B31+D31)</f>
        <v>-0.25220140000000002</v>
      </c>
      <c r="V22" t="s">
        <v>16</v>
      </c>
    </row>
    <row r="23" spans="2:27">
      <c r="B23" s="24">
        <v>6.9964800000000002E-3</v>
      </c>
      <c r="C23" s="26">
        <f t="shared" si="3"/>
        <v>24526.619099890228</v>
      </c>
      <c r="D23" s="26">
        <v>171.6</v>
      </c>
      <c r="E23" t="s">
        <v>9</v>
      </c>
      <c r="N23" t="s">
        <v>0</v>
      </c>
      <c r="O23" t="s">
        <v>1</v>
      </c>
      <c r="P23" t="s">
        <v>2</v>
      </c>
      <c r="S23" s="24">
        <f>(B32-B32)</f>
        <v>0</v>
      </c>
      <c r="T23" s="26">
        <v>0</v>
      </c>
      <c r="U23" s="26">
        <f>(17438.6*-B32+D32)</f>
        <v>-1.4915987999999993</v>
      </c>
      <c r="V23" t="s">
        <v>17</v>
      </c>
    </row>
    <row r="24" spans="2:27">
      <c r="B24" s="24">
        <v>1.55952E-3</v>
      </c>
      <c r="C24" s="26">
        <f t="shared" si="3"/>
        <v>25841.28449779419</v>
      </c>
      <c r="D24" s="26">
        <v>40.299999999999997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1">
        <f>(O24*N24)</f>
        <v>2.507999999999996</v>
      </c>
      <c r="Q24" t="s">
        <v>11</v>
      </c>
      <c r="S24" s="24">
        <f>(B34)</f>
        <v>1.80774E-3</v>
      </c>
      <c r="T24" s="26">
        <f>(U24/S24)</f>
        <v>27575.86821113656</v>
      </c>
      <c r="U24" s="26">
        <f>(D34)</f>
        <v>49.85</v>
      </c>
      <c r="V24" t="s">
        <v>18</v>
      </c>
    </row>
    <row r="25" spans="2:27">
      <c r="B25" s="24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1">
        <f>(O25*N25)</f>
        <v>4.008</v>
      </c>
    </row>
    <row r="26" spans="2:27">
      <c r="B26" s="24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1">
        <f>(O26*N26)</f>
        <v>8.016</v>
      </c>
    </row>
    <row r="27" spans="2:27">
      <c r="B27" s="24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1">
        <f>(O27*N27)</f>
        <v>16.032</v>
      </c>
    </row>
    <row r="28" spans="2:27">
      <c r="B28" s="24">
        <v>-1.8000000000000001E-4</v>
      </c>
      <c r="C28" s="26">
        <v>21355</v>
      </c>
      <c r="D28" s="26">
        <f>(B28*C28)</f>
        <v>-3.8439000000000001</v>
      </c>
    </row>
    <row r="29" spans="2:27">
      <c r="B29" s="24">
        <v>-1.2E-4</v>
      </c>
      <c r="C29" s="26">
        <v>21355</v>
      </c>
      <c r="D29" s="26">
        <f>(C29*B29)</f>
        <v>-2.5626000000000002</v>
      </c>
      <c r="P29" s="31">
        <f>(SUM(P24:P27))</f>
        <v>30.563999999999997</v>
      </c>
    </row>
    <row r="30" spans="2:27">
      <c r="B30" s="24">
        <f>(-N64)</f>
        <v>0</v>
      </c>
      <c r="C30" s="26">
        <v>21560</v>
      </c>
      <c r="D30" s="26">
        <f>(C30*B30)</f>
        <v>0</v>
      </c>
    </row>
    <row r="31" spans="2:27">
      <c r="B31" s="24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4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1">
        <f>(O32*N32)</f>
        <v>3.9007043000000006</v>
      </c>
      <c r="Q32" t="s">
        <v>11</v>
      </c>
      <c r="AA32" s="27"/>
    </row>
    <row r="33" spans="2:21">
      <c r="B33" s="24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1">
        <f>(O33*N33)</f>
        <v>6.2399999999999993</v>
      </c>
    </row>
    <row r="34" spans="2:21">
      <c r="B34" s="24">
        <v>1.80774E-3</v>
      </c>
      <c r="C34" s="26">
        <f>(D34/B34)</f>
        <v>27575.86821113656</v>
      </c>
      <c r="D34" s="26">
        <v>49.85</v>
      </c>
      <c r="E34" t="s">
        <v>18</v>
      </c>
      <c r="N34">
        <f>($B$20/5)</f>
        <v>1.8266000000000002E-4</v>
      </c>
      <c r="O34" s="26">
        <f>($C$20*[1]Params!K17)</f>
        <v>68323.661447498074</v>
      </c>
      <c r="P34" s="31">
        <f>(O34*N34)</f>
        <v>12.479999999999999</v>
      </c>
    </row>
    <row r="35" spans="2:21">
      <c r="B35" s="24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1">
        <f>(O35*N35)</f>
        <v>24.959999999999997</v>
      </c>
    </row>
    <row r="36" spans="2:21">
      <c r="B36" s="24">
        <v>-1.08507E-3</v>
      </c>
      <c r="C36" s="26">
        <v>42783</v>
      </c>
      <c r="D36" s="26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</row>
    <row r="37" spans="2:21">
      <c r="F37" t="s">
        <v>12</v>
      </c>
      <c r="G37" s="27">
        <f>(D38/B38)</f>
        <v>23581.228829086125</v>
      </c>
      <c r="P37" s="31">
        <f>(SUM(P32:P35))</f>
        <v>47.580704299999994</v>
      </c>
      <c r="S37">
        <f>(SUM(S5:S25))</f>
        <v>2.9627209999999994E-2</v>
      </c>
      <c r="U37" s="26">
        <f>(SUM(U5:U25))</f>
        <v>552.59980017000009</v>
      </c>
    </row>
    <row r="38" spans="2:21">
      <c r="B38">
        <f>(SUM(B5:B37))</f>
        <v>2.9271410000000005E-2</v>
      </c>
      <c r="D38" s="26">
        <f>(SUM(D5:D37))</f>
        <v>690.25581736000004</v>
      </c>
    </row>
    <row r="39" spans="2:21"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1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1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1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1">
        <f>(O43*N43)</f>
        <v>15.808000000000002</v>
      </c>
    </row>
    <row r="45" spans="2:21">
      <c r="P45" s="31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1">
        <f>(O48*N48)</f>
        <v>7.4555999999999996</v>
      </c>
      <c r="Q48" t="s">
        <v>11</v>
      </c>
    </row>
    <row r="49" spans="13:17">
      <c r="N49">
        <f>(2*($S$19+N48)/5-N48)</f>
        <v>2.4565920000000001E-3</v>
      </c>
      <c r="O49" s="26">
        <f>($T$19*[1]Params!K16)</f>
        <v>49781.800771810864</v>
      </c>
      <c r="P49" s="31">
        <f>(O49*N49)</f>
        <v>122.2935735216244</v>
      </c>
    </row>
    <row r="50" spans="13:17">
      <c r="N50">
        <f>($B$23/5)</f>
        <v>1.399296E-3</v>
      </c>
      <c r="O50" s="26">
        <f>($T$19*[1]Params!K17)</f>
        <v>99563.601543621728</v>
      </c>
      <c r="P50" s="31">
        <f>(O50*N50)</f>
        <v>139.31894938558369</v>
      </c>
    </row>
    <row r="51" spans="13:17">
      <c r="N51">
        <f>($B$23/5)</f>
        <v>1.399296E-3</v>
      </c>
      <c r="O51" s="26">
        <f>($T$19*[1]Params!K18)</f>
        <v>199127.20308724346</v>
      </c>
      <c r="P51" s="31">
        <f>(O51*N51)</f>
        <v>278.63789877116739</v>
      </c>
    </row>
    <row r="53" spans="13:17">
      <c r="P53" s="31">
        <f>(SUM(P48:P51))</f>
        <v>547.70602167837546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1">
        <f>(O56*N56)</f>
        <v>1.25048</v>
      </c>
      <c r="Q56" t="s">
        <v>11</v>
      </c>
    </row>
    <row r="57" spans="13:17">
      <c r="N57">
        <f>(2*($S$20+N56)/5-N56)</f>
        <v>5.65808E-4</v>
      </c>
      <c r="O57" s="26">
        <f>($T$20*[1]Params!K16)</f>
        <v>52349.247962065099</v>
      </c>
      <c r="P57" s="31">
        <f>(O57*N57)</f>
        <v>29.619623290920131</v>
      </c>
    </row>
    <row r="58" spans="13:17">
      <c r="N58">
        <f>($B$24/5)</f>
        <v>3.11904E-4</v>
      </c>
      <c r="O58" s="26">
        <f>($T$20*[1]Params!K17)</f>
        <v>104698.4959241302</v>
      </c>
      <c r="P58" s="31">
        <f>(O58*N58)</f>
        <v>32.655879672719905</v>
      </c>
    </row>
    <row r="59" spans="13:17">
      <c r="N59">
        <f>($B$24/5)</f>
        <v>3.11904E-4</v>
      </c>
      <c r="O59" s="26">
        <f>($T$20*[1]Params!K18)</f>
        <v>209396.9918482604</v>
      </c>
      <c r="P59" s="31">
        <f>(O59*N59)</f>
        <v>65.31175934543981</v>
      </c>
    </row>
    <row r="61" spans="13:17">
      <c r="P61" s="31">
        <f>(SUM(P56:P59))</f>
        <v>128.83774230907983</v>
      </c>
    </row>
    <row r="64" spans="13:17">
      <c r="O64" s="26"/>
      <c r="P64" s="31"/>
    </row>
    <row r="65" spans="13:16">
      <c r="O65" s="26"/>
      <c r="P65" s="31"/>
    </row>
    <row r="66" spans="13:16">
      <c r="O66" s="26"/>
      <c r="P66" s="31"/>
    </row>
    <row r="67" spans="13:16">
      <c r="O67" s="26"/>
      <c r="P67" s="31"/>
    </row>
    <row r="69" spans="13:16">
      <c r="P69" s="31"/>
    </row>
    <row r="71" spans="13:16">
      <c r="M71" t="s">
        <v>25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3.61548E-4</v>
      </c>
      <c r="O72" s="26">
        <f>($T$24*[1]Params!K15)</f>
        <v>41363.802316704838</v>
      </c>
      <c r="P72" s="31">
        <f>(O72*N72)</f>
        <v>14.955</v>
      </c>
    </row>
    <row r="73" spans="13:16">
      <c r="N73">
        <f>($S$24/5)</f>
        <v>3.61548E-4</v>
      </c>
      <c r="O73" s="26">
        <f>($T$24*[1]Params!K16)</f>
        <v>55151.736422273119</v>
      </c>
      <c r="P73" s="31">
        <f>(O73*N73)</f>
        <v>19.940000000000001</v>
      </c>
    </row>
    <row r="74" spans="13:16">
      <c r="N74">
        <f>($S$24/5)</f>
        <v>3.61548E-4</v>
      </c>
      <c r="O74" s="26">
        <f>($T$24*[1]Params!K17)</f>
        <v>110303.47284454624</v>
      </c>
      <c r="P74" s="31">
        <f>(O74*N74)</f>
        <v>39.880000000000003</v>
      </c>
    </row>
    <row r="75" spans="13:16">
      <c r="N75">
        <f>($S$24/5)</f>
        <v>3.61548E-4</v>
      </c>
      <c r="O75" s="26">
        <f>($T$24*[1]Params!K18)</f>
        <v>220606.94568909248</v>
      </c>
      <c r="P75" s="31">
        <f>(O75*N75)</f>
        <v>79.760000000000005</v>
      </c>
    </row>
    <row r="77" spans="13:16">
      <c r="P77" s="31">
        <f>(SUM(P72:P75))</f>
        <v>154.53500000000003</v>
      </c>
    </row>
  </sheetData>
  <conditionalFormatting sqref="C5 C7:C17 C19:C20 C22:C25 C34:C36 G37 O9:O11 O19 O25:O27 O33:O35 O41:O43 O49:O51 O57:O59 O65:O67 O72:O75 T5 T7:T21 T24">
    <cfRule type="cellIs" dxfId="295" priority="45" operator="lessThan">
      <formula>$J$3</formula>
    </cfRule>
    <cfRule type="cellIs" dxfId="294" priority="46" operator="greaterThan">
      <formula>$J$3</formula>
    </cfRule>
  </conditionalFormatting>
  <conditionalFormatting sqref="O3">
    <cfRule type="cellIs" dxfId="293" priority="1" operator="greaterThan">
      <formula>$J$3</formula>
    </cfRule>
    <cfRule type="cellIs" dxfId="29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11.80242614638872</v>
      </c>
      <c r="M3" t="s">
        <v>4</v>
      </c>
      <c r="N3" s="24">
        <f>(INDEX(N5:N19,MATCH(MAX(O6:O8),O5:O19,0))/0.85)</f>
        <v>0.62352941176470589</v>
      </c>
      <c r="O3" s="27">
        <f>(MAX(O6:O8)*0.75)</f>
        <v>8.0377360613207536</v>
      </c>
      <c r="P3" s="46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11.592019810555112</v>
      </c>
      <c r="K4" s="4">
        <f>(J4/D13-1)</f>
        <v>-8.2068467678688037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6">
        <f>(D5/B5)</f>
        <v>4.769313454065073</v>
      </c>
      <c r="D5" s="26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6">
        <f>(T5/R5)</f>
        <v>4.8943120206798332</v>
      </c>
      <c r="T5" s="26">
        <f>(D5)+(B7)*4.615+(B8)*4.6733+B11*4.7693</f>
        <v>4.5261674499999991</v>
      </c>
    </row>
    <row r="6" spans="2:21">
      <c r="B6" s="2">
        <v>2.3012699999999998E-3</v>
      </c>
      <c r="C6" s="29">
        <v>0</v>
      </c>
      <c r="D6" s="30">
        <f>(B6*C6)</f>
        <v>0</v>
      </c>
      <c r="E6" s="26">
        <f>(B6*J3)</f>
        <v>2.7160569217899968E-2</v>
      </c>
      <c r="M6" t="s">
        <v>10</v>
      </c>
      <c r="N6" s="24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2.3012699999999998E-3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4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4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4">
        <f>B13/2</f>
        <v>0.49108630999999991</v>
      </c>
      <c r="O9" s="26">
        <f>($S$5*[1]Params!K11)</f>
        <v>24.471560103399167</v>
      </c>
      <c r="P9" s="26">
        <f>(O9*N9)</f>
        <v>12.017648151121513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R11" s="1"/>
      <c r="S11" s="26"/>
      <c r="T11" s="26"/>
    </row>
    <row r="12" spans="2:21">
      <c r="F12" t="s">
        <v>12</v>
      </c>
      <c r="G12" s="26">
        <f>(D13/B13)</f>
        <v>-1.6376685291837989</v>
      </c>
      <c r="P12" s="26">
        <f>(SUM(P6:P9))</f>
        <v>24.736340771121512</v>
      </c>
      <c r="R12" s="1"/>
      <c r="S12" s="26"/>
      <c r="T12" s="26"/>
    </row>
    <row r="13" spans="2:21">
      <c r="B13">
        <f>(SUM(B5:B12))</f>
        <v>0.98217261999999983</v>
      </c>
      <c r="D13" s="26">
        <f>(SUM(D5:D12))</f>
        <v>-1.608473189999998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0.98217261999999994</v>
      </c>
      <c r="T25" s="26">
        <f>(SUM(T5:T24))</f>
        <v>-1.6084731899999989</v>
      </c>
    </row>
  </sheetData>
  <conditionalFormatting sqref="C5 G12 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6">
        <v>0.71559085476223794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2.0926159328074529</v>
      </c>
      <c r="K4" s="4">
        <f>(J4/D10-1)</f>
        <v>-0.30246135573084898</v>
      </c>
    </row>
    <row r="5" spans="2:16">
      <c r="B5" s="36">
        <v>2.9243190000000001</v>
      </c>
      <c r="C5" s="26">
        <f>(D5/B5)</f>
        <v>1.0258798715188049</v>
      </c>
      <c r="D5" s="26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4"/>
      <c r="C6" s="26"/>
      <c r="D6" s="26"/>
      <c r="M6" t="s">
        <v>10</v>
      </c>
      <c r="N6" s="24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4"/>
      <c r="C7" s="26"/>
      <c r="D7" s="26"/>
      <c r="N7" s="24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4"/>
      <c r="C8" s="26"/>
      <c r="D8" s="26"/>
      <c r="N8" s="24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4"/>
      <c r="C9" s="26"/>
      <c r="D9" s="26"/>
      <c r="F9" t="s">
        <v>12</v>
      </c>
      <c r="G9" s="26">
        <f>(D10/B10)</f>
        <v>1.0258798715188049</v>
      </c>
      <c r="H9" s="26"/>
      <c r="N9" s="24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6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6">
        <v>2.8487685756289252</v>
      </c>
      <c r="M3" t="s">
        <v>4</v>
      </c>
      <c r="N3" s="24">
        <f>(INDEX(N5:N16,MATCH(MAX(O6),O5:O16,0))/0.85)</f>
        <v>1.4035294117647059</v>
      </c>
      <c r="O3" s="27">
        <f>(MAX(O6)*0.75)</f>
        <v>2.1284581056160938</v>
      </c>
      <c r="P3" s="46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(B10*J3)</f>
        <v>13.595626755110779</v>
      </c>
      <c r="K4" s="4">
        <f>(J4/D10-1)</f>
        <v>0.42000777143573065</v>
      </c>
    </row>
    <row r="5" spans="2:17">
      <c r="B5" s="1">
        <v>5.9470306800000001</v>
      </c>
      <c r="C5" s="26">
        <f>(D5/B5)</f>
        <v>2.1792387995550078</v>
      </c>
      <c r="D5" s="26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1.8426749999999999E-2</v>
      </c>
      <c r="C6" s="29">
        <v>0</v>
      </c>
      <c r="D6" s="30">
        <f>(B6*C6)</f>
        <v>0</v>
      </c>
      <c r="E6" s="26">
        <f>(B6*J3)</f>
        <v>5.249354635097029E-2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</row>
    <row r="7" spans="2:17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2*($B$10+$N$6)/5-$N$6</f>
        <v>1.1931829719999993</v>
      </c>
      <c r="O7" s="26">
        <f>($C$5*[1]Params!K9)</f>
        <v>3.4867820792880124</v>
      </c>
      <c r="P7" s="26">
        <f>(O7*N7)</f>
        <v>4.1603690040812076</v>
      </c>
    </row>
    <row r="8" spans="2:17">
      <c r="N8" s="1">
        <f>2*($B$10+$N$6)/5-$N$6</f>
        <v>1.1931829719999993</v>
      </c>
      <c r="O8" s="26">
        <f>($C$5*[1]Params!K10)</f>
        <v>4.7943253590210171</v>
      </c>
      <c r="P8" s="26">
        <f>(O8*N8)</f>
        <v>5.7205073806116609</v>
      </c>
    </row>
    <row r="9" spans="2:17">
      <c r="F9" t="s">
        <v>12</v>
      </c>
      <c r="G9" s="26">
        <f>(D10/B10)</f>
        <v>2.0061640738406759</v>
      </c>
      <c r="N9" s="1">
        <f>2*($B$10+$N$6)/5-$N$6</f>
        <v>1.1931829719999993</v>
      </c>
      <c r="O9" s="26">
        <f>($C$5*[1]Params!K11)</f>
        <v>10.89619399777504</v>
      </c>
      <c r="P9" s="26">
        <f>(O9*N9)</f>
        <v>13.001153137753777</v>
      </c>
    </row>
    <row r="10" spans="2:17">
      <c r="B10" s="1">
        <f>(SUM(B5:B9))</f>
        <v>4.7724574299999993</v>
      </c>
      <c r="D10" s="26">
        <f>(SUM(D5:D9))</f>
        <v>9.5743326400000015</v>
      </c>
    </row>
    <row r="11" spans="2:17">
      <c r="P11" s="26">
        <f>(SUM(P6:P9))</f>
        <v>26.267696882446643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N30" sqref="N29:O30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13.405226404502089</v>
      </c>
      <c r="M3" t="s">
        <v>4</v>
      </c>
      <c r="N3" s="24">
        <f>(INDEX(N5:N16,MATCH(MAX(O6:O8),O5:O16,0))/0.9)</f>
        <v>0.29066666666666668</v>
      </c>
      <c r="O3" s="27">
        <f>(MAX(O6:O8)*0.85)</f>
        <v>13.030342087155963</v>
      </c>
      <c r="P3" s="46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7.9134136008371492</v>
      </c>
      <c r="K4" s="4">
        <f>(J4/D11-1)</f>
        <v>27.419937308590363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6">
        <f>(D5/B5)</f>
        <v>7.2506775659611229</v>
      </c>
      <c r="D5" s="26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6">
        <f>(T5/R5)</f>
        <v>7.7146140445488509</v>
      </c>
      <c r="T5" s="26">
        <f>(D5)+(B7+B8+B9)*6.9017</f>
        <v>4.5356312799999996</v>
      </c>
    </row>
    <row r="6" spans="2:21">
      <c r="B6" s="2">
        <v>2.3958299999999998E-3</v>
      </c>
      <c r="C6" s="29">
        <v>0</v>
      </c>
      <c r="D6" s="30">
        <f>(B6*C6)</f>
        <v>0</v>
      </c>
      <c r="E6" s="26">
        <f>(B6*J3)</f>
        <v>3.2116643576698238E-2</v>
      </c>
      <c r="M6" t="s">
        <v>10</v>
      </c>
      <c r="N6" s="24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2.3958299999999998E-3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4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4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4">
        <f>4*($B$5+B6)/5-N8-N7-N6</f>
        <v>0.31593840799999984</v>
      </c>
      <c r="O9" s="26">
        <f>($C$5*[1]Params!K11)</f>
        <v>36.253387829805618</v>
      </c>
      <c r="P9" s="26">
        <f>(O9*N9)</f>
        <v>11.453837635555356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0.4716838837096996</v>
      </c>
      <c r="O10" s="26"/>
      <c r="P10" s="26"/>
      <c r="R10" s="1"/>
      <c r="S10" s="26"/>
      <c r="T10" s="26"/>
      <c r="U10" s="27"/>
    </row>
    <row r="11" spans="2:21">
      <c r="B11">
        <f>(SUM(B5:B10))</f>
        <v>0.59032300999999987</v>
      </c>
      <c r="C11" s="26"/>
      <c r="D11" s="26">
        <f>(SUM(D5:D10))</f>
        <v>0.27844584999999977</v>
      </c>
      <c r="O11" s="26"/>
      <c r="P11" s="26">
        <f>(SUM(P6:P9))</f>
        <v>21.105391785555355</v>
      </c>
      <c r="R11" s="1"/>
      <c r="S11" s="26"/>
      <c r="T11" s="27"/>
    </row>
    <row r="22" spans="18:20">
      <c r="R22">
        <f>(SUM(R5:R21))</f>
        <v>0.59032300999999987</v>
      </c>
      <c r="T22" s="26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64.633629018981622</v>
      </c>
      <c r="N3" s="24"/>
      <c r="O3" s="27"/>
      <c r="P3" s="4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10.610288856570534</v>
      </c>
      <c r="K4" s="4">
        <f>(J4/D15-1)</f>
        <v>6.7553958000076797E-2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1.20291E-3</v>
      </c>
      <c r="C6" s="29">
        <v>0</v>
      </c>
      <c r="D6" s="30">
        <f>(B6*C6)</f>
        <v>0</v>
      </c>
      <c r="E6" s="26">
        <f>(B6*J3)</f>
        <v>7.7748438683223176E-2</v>
      </c>
      <c r="M6" t="s">
        <v>10</v>
      </c>
      <c r="N6" s="50">
        <f>(SUM(R$5:R$8)/5)</f>
        <v>3.283210000000001E-2</v>
      </c>
      <c r="O6" s="26">
        <f>($C$7*[1]Params!K8)</f>
        <v>89.451451451451447</v>
      </c>
      <c r="P6" s="26">
        <f>(O6*N6)</f>
        <v>2.9368789991991999</v>
      </c>
      <c r="R6" s="2">
        <f>(B6)</f>
        <v>1.20291E-3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0">
        <f>(SUM(R$5:R$8)/5)</f>
        <v>3.283210000000001E-2</v>
      </c>
      <c r="O7" s="26">
        <f>($C$7*[1]Params!K9)</f>
        <v>110.09409409409409</v>
      </c>
      <c r="P7" s="26">
        <f>(O7*N7)</f>
        <v>3.6146203067067075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0">
        <f>(SUM(R$5:R$8)/5)</f>
        <v>3.283210000000001E-2</v>
      </c>
      <c r="O8" s="26">
        <f>($C$7*[1]Params!K10)</f>
        <v>151.37937937937937</v>
      </c>
      <c r="P8" s="26">
        <f>(O8*N8)</f>
        <v>4.9701029217217227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1.2068111094929104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0">
        <f>(SUM(R$5:R$8)/5)</f>
        <v>3.283210000000001E-2</v>
      </c>
      <c r="O9" s="26">
        <f>($C$7*[1]Params!K11)</f>
        <v>344.04404404404403</v>
      </c>
      <c r="P9" s="26">
        <f>(O9*N9)</f>
        <v>11.295688458458461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22.817290686086089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60.543664828018912</v>
      </c>
    </row>
    <row r="15" spans="2:21">
      <c r="B15" s="1">
        <f>(SUM(B5:B14))</f>
        <v>0.16416050000000001</v>
      </c>
      <c r="D15" s="26">
        <f>(SUM(D5:D14))</f>
        <v>9.9388782899999999</v>
      </c>
    </row>
    <row r="21" spans="18:20">
      <c r="R21">
        <f>(SUM(R5:R20))</f>
        <v>0.16416050000000004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M2" sqref="M2:P3"/>
    </sheetView>
  </sheetViews>
  <sheetFormatPr baseColWidth="10" defaultColWidth="9.140625" defaultRowHeight="15"/>
  <cols>
    <col min="2" max="2" width="9.28515625" style="14" bestFit="1" customWidth="1"/>
    <col min="3" max="3" width="9.5703125" style="14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5703125" style="14" bestFit="1" customWidth="1"/>
    <col min="15" max="15" width="11.28515625" style="14" bestFit="1" customWidth="1"/>
    <col min="16" max="16" width="9.140625" style="14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0.6522976236657605</v>
      </c>
      <c r="M3" t="s">
        <v>4</v>
      </c>
      <c r="N3" s="37">
        <f>-B7</f>
        <v>3.2590001599999998</v>
      </c>
      <c r="O3" s="34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4.8356759905366067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32</v>
      </c>
      <c r="O5" t="s">
        <v>1</v>
      </c>
      <c r="P5" t="s">
        <v>2</v>
      </c>
    </row>
    <row r="6" spans="2:16">
      <c r="B6" s="51">
        <v>5.6514839999999997E-2</v>
      </c>
      <c r="C6" s="29">
        <v>0</v>
      </c>
      <c r="D6" s="30">
        <f>(B6*C6)</f>
        <v>0</v>
      </c>
      <c r="E6" s="26">
        <f>(B6*J3)</f>
        <v>3.6864495833850666E-2</v>
      </c>
      <c r="M6" t="s">
        <v>4</v>
      </c>
      <c r="N6" s="50">
        <f>B21</f>
        <v>3.25</v>
      </c>
      <c r="O6" s="34">
        <f>(C21*2)</f>
        <v>1.4265794584615383</v>
      </c>
      <c r="P6" s="26">
        <f>(N6*O6)</f>
        <v>4.6363832399999998</v>
      </c>
    </row>
    <row r="7" spans="2:16">
      <c r="B7" s="50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1"/>
      <c r="O9" s="34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4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0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7.4132969600000012</v>
      </c>
      <c r="D23" s="26">
        <f>(SUM(D5:D22))</f>
        <v>-3.07924029</v>
      </c>
    </row>
  </sheetData>
  <conditionalFormatting sqref="C21 O6">
    <cfRule type="cellIs" dxfId="133" priority="7" operator="lessThan">
      <formula>$J$3</formula>
    </cfRule>
    <cfRule type="cellIs" dxfId="132" priority="8" operator="greaterThan">
      <formula>$J$3</formula>
    </cfRule>
  </conditionalFormatting>
  <conditionalFormatting sqref="O3">
    <cfRule type="cellIs" dxfId="131" priority="3" operator="greaterThan">
      <formula>$J$3</formula>
    </cfRule>
    <cfRule type="cellIs" dxfId="130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2:T39"/>
  <sheetViews>
    <sheetView workbookViewId="0">
      <selection activeCell="M2" sqref="M2:P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5703125" style="14" bestFit="1" customWidth="1"/>
    <col min="15" max="15" width="11.28515625" style="14" bestFit="1" customWidth="1"/>
    <col min="18" max="18" width="12" style="14" bestFit="1" customWidth="1"/>
    <col min="19" max="19" width="13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4">
        <v>1.117351242551021E-4</v>
      </c>
      <c r="M3" t="s">
        <v>4</v>
      </c>
      <c r="N3" s="37">
        <f>400000-B39</f>
        <v>271957.23964096955</v>
      </c>
      <c r="O3" s="34">
        <f>C37/2.8</f>
        <v>9.167184652380953E-5</v>
      </c>
      <c r="P3" s="26">
        <f>(N3*O3)</f>
        <v>24.93082233340585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(B39*J3)</f>
        <v>14.306873738682528</v>
      </c>
      <c r="R4" t="s">
        <v>5</v>
      </c>
      <c r="S4" t="s">
        <v>6</v>
      </c>
      <c r="T4" t="s">
        <v>7</v>
      </c>
    </row>
    <row r="5" spans="2:20">
      <c r="B5" s="36">
        <v>0.2363634506</v>
      </c>
      <c r="C5" s="34">
        <v>115.55</v>
      </c>
      <c r="D5" s="26">
        <f>(B5*C5)</f>
        <v>27.311796716829999</v>
      </c>
      <c r="N5" t="s">
        <v>32</v>
      </c>
      <c r="O5" t="s">
        <v>1</v>
      </c>
      <c r="P5" t="s">
        <v>2</v>
      </c>
      <c r="R5" s="36">
        <f t="shared" ref="R5:R12" si="0">(B5)</f>
        <v>0.2363634506</v>
      </c>
      <c r="S5" s="34">
        <v>115.55</v>
      </c>
      <c r="T5" s="26">
        <f>(R5*S5)</f>
        <v>27.311796716829999</v>
      </c>
    </row>
    <row r="6" spans="2:20">
      <c r="B6" s="36">
        <v>0.3</v>
      </c>
      <c r="C6" s="34">
        <v>91.3</v>
      </c>
      <c r="D6" s="26">
        <f>(B6*C6)</f>
        <v>27.389999999999997</v>
      </c>
      <c r="M6" t="s">
        <v>4</v>
      </c>
      <c r="N6">
        <f>(INDEX(B5:B17,MATCH(O6/2,C5:C17,0)))</f>
        <v>40000</v>
      </c>
      <c r="O6" s="34">
        <f>(MIN(C5:C8,C14:C16)*2)</f>
        <v>5.0000000000000001E-4</v>
      </c>
      <c r="P6" s="26">
        <f>(N6*O6)</f>
        <v>20</v>
      </c>
      <c r="R6" s="36">
        <f t="shared" si="0"/>
        <v>0.3</v>
      </c>
      <c r="S6" s="34">
        <v>91.3</v>
      </c>
      <c r="T6" s="26">
        <f>(R6*S6)</f>
        <v>27.389999999999997</v>
      </c>
    </row>
    <row r="7" spans="2:20">
      <c r="B7" s="36">
        <v>2.7904138700000001</v>
      </c>
      <c r="C7" s="34">
        <v>6.5</v>
      </c>
      <c r="D7" s="26">
        <f>(B7*C7)</f>
        <v>18.137690155000001</v>
      </c>
      <c r="R7" s="36">
        <f t="shared" si="0"/>
        <v>2.7904138700000001</v>
      </c>
      <c r="S7" s="34">
        <v>6.5</v>
      </c>
      <c r="T7" s="26">
        <f>(R7*S7)</f>
        <v>18.137690155000001</v>
      </c>
    </row>
    <row r="8" spans="2:20">
      <c r="B8" s="36">
        <v>722</v>
      </c>
      <c r="C8" s="34">
        <f t="shared" ref="C8:C16" si="1">(D8/B8)</f>
        <v>2.077562326869806E-2</v>
      </c>
      <c r="D8" s="26">
        <v>15</v>
      </c>
      <c r="N8" t="s">
        <v>32</v>
      </c>
      <c r="O8" t="s">
        <v>1</v>
      </c>
      <c r="P8" t="s">
        <v>2</v>
      </c>
      <c r="R8" s="36">
        <f t="shared" si="0"/>
        <v>722</v>
      </c>
      <c r="S8" s="34">
        <f t="shared" ref="S8:S13" si="2">(T8/R8)</f>
        <v>2.077562326869806E-2</v>
      </c>
      <c r="T8" s="26">
        <v>15</v>
      </c>
    </row>
    <row r="9" spans="2:20">
      <c r="B9" s="36">
        <f>(891400)</f>
        <v>891400</v>
      </c>
      <c r="C9" s="34">
        <f t="shared" si="1"/>
        <v>1.1218308279111509E-5</v>
      </c>
      <c r="D9" s="26">
        <v>10</v>
      </c>
      <c r="M9" t="s">
        <v>4</v>
      </c>
      <c r="N9" s="21">
        <f>B39/4</f>
        <v>32010.690089757612</v>
      </c>
      <c r="O9" s="34">
        <v>5.0000000000000001E-4</v>
      </c>
      <c r="P9" s="26">
        <f>(N9*O9)</f>
        <v>16.005345044878805</v>
      </c>
      <c r="R9" s="36">
        <f t="shared" si="0"/>
        <v>891400</v>
      </c>
      <c r="S9" s="34">
        <f t="shared" si="2"/>
        <v>1.1218308279111509E-5</v>
      </c>
      <c r="T9" s="26">
        <v>10</v>
      </c>
    </row>
    <row r="10" spans="2:20">
      <c r="B10" s="36">
        <v>-200000</v>
      </c>
      <c r="C10" s="34">
        <f t="shared" si="1"/>
        <v>6.0000000000000002E-5</v>
      </c>
      <c r="D10" s="26">
        <v>-12</v>
      </c>
      <c r="O10" s="34"/>
      <c r="R10" s="36">
        <f t="shared" si="0"/>
        <v>-200000</v>
      </c>
      <c r="S10" s="34">
        <f t="shared" si="2"/>
        <v>6.0000000000000002E-5</v>
      </c>
      <c r="T10" s="26">
        <v>-12</v>
      </c>
    </row>
    <row r="11" spans="2:20">
      <c r="B11" s="36">
        <v>-43873</v>
      </c>
      <c r="C11" s="34">
        <f t="shared" si="1"/>
        <v>2.2793061791990518E-4</v>
      </c>
      <c r="D11" s="26">
        <v>-10</v>
      </c>
      <c r="R11" s="36">
        <f t="shared" si="0"/>
        <v>-43873</v>
      </c>
      <c r="S11" s="34">
        <f t="shared" si="2"/>
        <v>2.2793061791990518E-4</v>
      </c>
      <c r="T11" s="26">
        <v>-10</v>
      </c>
    </row>
    <row r="12" spans="2:20">
      <c r="B12" s="36">
        <v>-20000</v>
      </c>
      <c r="C12" s="34">
        <f t="shared" si="1"/>
        <v>5.0000000000000001E-4</v>
      </c>
      <c r="D12" s="26">
        <v>-10</v>
      </c>
      <c r="R12" s="36">
        <f t="shared" si="0"/>
        <v>-20000</v>
      </c>
      <c r="S12" s="34">
        <f t="shared" si="2"/>
        <v>5.0000000000000001E-4</v>
      </c>
      <c r="T12" s="26">
        <v>-10</v>
      </c>
    </row>
    <row r="13" spans="2:20">
      <c r="B13" s="36">
        <v>-66800</v>
      </c>
      <c r="C13" s="34">
        <f t="shared" si="1"/>
        <v>5.0000000000000001E-4</v>
      </c>
      <c r="D13" s="26">
        <v>-33.4</v>
      </c>
      <c r="R13" s="36">
        <f>(B13+B14+B15+B16)</f>
        <v>43423</v>
      </c>
      <c r="S13" s="34">
        <f t="shared" si="2"/>
        <v>1.0594270317573637E-4</v>
      </c>
      <c r="T13" s="26">
        <f>(D13+D15+D14+D16)</f>
        <v>4.6003500000000006</v>
      </c>
    </row>
    <row r="14" spans="2:20">
      <c r="B14" s="36">
        <v>22223</v>
      </c>
      <c r="C14" s="34">
        <f t="shared" si="1"/>
        <v>4.4999999999999999E-4</v>
      </c>
      <c r="D14" s="26">
        <v>10.000349999999999</v>
      </c>
      <c r="R14" s="36">
        <f t="shared" ref="R14:R20" si="3">(B17)</f>
        <v>-150000</v>
      </c>
      <c r="S14" s="34">
        <v>1E-4</v>
      </c>
      <c r="T14" s="26">
        <f>(S14*R14)</f>
        <v>-15</v>
      </c>
    </row>
    <row r="15" spans="2:20">
      <c r="B15" s="36">
        <v>48000</v>
      </c>
      <c r="C15" s="34">
        <f t="shared" si="1"/>
        <v>3.7500000000000001E-4</v>
      </c>
      <c r="D15" s="26">
        <v>18</v>
      </c>
      <c r="R15" s="36">
        <f t="shared" si="3"/>
        <v>4888.0176251000003</v>
      </c>
      <c r="S15" s="34">
        <v>0</v>
      </c>
      <c r="T15" s="26">
        <f>(R15*S15)</f>
        <v>0</v>
      </c>
    </row>
    <row r="16" spans="2:20">
      <c r="B16" s="36">
        <v>40000</v>
      </c>
      <c r="C16" s="34">
        <f t="shared" si="1"/>
        <v>2.5000000000000001E-4</v>
      </c>
      <c r="D16" s="26">
        <v>10</v>
      </c>
      <c r="R16" s="36">
        <f t="shared" si="3"/>
        <v>-60293.19</v>
      </c>
      <c r="S16" s="34">
        <v>1.829E-4</v>
      </c>
      <c r="T16" s="26">
        <f>(S16*R16)</f>
        <v>-11.027624451000001</v>
      </c>
    </row>
    <row r="17" spans="2:20">
      <c r="B17" s="36">
        <v>-150000</v>
      </c>
      <c r="C17" s="34">
        <v>1E-4</v>
      </c>
      <c r="D17" s="26">
        <f>(C17*B17)</f>
        <v>-15</v>
      </c>
      <c r="R17" s="36">
        <f t="shared" si="3"/>
        <v>-41141.35</v>
      </c>
      <c r="S17" s="34">
        <v>1.828E-4</v>
      </c>
      <c r="T17" s="26">
        <f>(S17*R17)</f>
        <v>-7.5206387799999996</v>
      </c>
    </row>
    <row r="18" spans="2:20">
      <c r="B18" s="48">
        <v>4888.0176251000003</v>
      </c>
      <c r="C18" s="29">
        <v>0</v>
      </c>
      <c r="D18" s="30">
        <f>(B18*C18)</f>
        <v>0</v>
      </c>
      <c r="E18" s="26">
        <f>(B18*J3)</f>
        <v>0.54616325670167765</v>
      </c>
      <c r="R18" s="36">
        <f t="shared" si="3"/>
        <v>-26969.34</v>
      </c>
      <c r="S18" s="34">
        <f>(T18/R18)</f>
        <v>4.0323567428791359E-4</v>
      </c>
      <c r="T18" s="26">
        <v>-10.875</v>
      </c>
    </row>
    <row r="19" spans="2:20">
      <c r="B19" s="36">
        <v>-60293.19</v>
      </c>
      <c r="C19" s="34">
        <v>1.829E-4</v>
      </c>
      <c r="D19" s="26">
        <f>(C19*B19)</f>
        <v>-11.027624451000001</v>
      </c>
      <c r="R19" s="36">
        <f t="shared" si="3"/>
        <v>-39131.89</v>
      </c>
      <c r="S19" s="34">
        <f>(T19/R19)</f>
        <v>4.0317500636948532E-4</v>
      </c>
      <c r="T19" s="26">
        <v>-15.776999999999999</v>
      </c>
    </row>
    <row r="20" spans="2:20">
      <c r="B20" s="36">
        <v>-41141.35</v>
      </c>
      <c r="C20" s="34">
        <v>1.828E-4</v>
      </c>
      <c r="D20" s="26">
        <f>(C20*B20)</f>
        <v>-7.5206387799999996</v>
      </c>
      <c r="R20" s="36">
        <f t="shared" si="3"/>
        <v>-31019.52</v>
      </c>
      <c r="S20" s="34">
        <f>(T20/R20)</f>
        <v>4.0941961706693071E-4</v>
      </c>
      <c r="T20" s="26">
        <v>-12.7</v>
      </c>
    </row>
    <row r="21" spans="2:20">
      <c r="B21" s="36">
        <v>-26969.34</v>
      </c>
      <c r="C21" s="34">
        <f>(D21/B21)</f>
        <v>4.0323567428791359E-4</v>
      </c>
      <c r="D21" s="26">
        <v>-10.875</v>
      </c>
      <c r="R21" s="36">
        <f>(B24+B25+B26)</f>
        <v>-55.650000000002365</v>
      </c>
      <c r="S21" s="34">
        <f>(T21/R21)</f>
        <v>1.4062807235038053E-2</v>
      </c>
      <c r="T21" s="26">
        <f>(D24+D25+D26)</f>
        <v>-0.78259522262990089</v>
      </c>
    </row>
    <row r="22" spans="2:20">
      <c r="B22" s="36">
        <v>-39131.89</v>
      </c>
      <c r="C22" s="34">
        <f>(D22/B22)</f>
        <v>4.0317500636948532E-4</v>
      </c>
      <c r="D22" s="26">
        <v>-15.776999999999999</v>
      </c>
      <c r="R22" s="36">
        <f>(B27+B28)</f>
        <v>0</v>
      </c>
      <c r="S22" s="34">
        <v>0</v>
      </c>
      <c r="T22" s="26">
        <f>(D27+D28)</f>
        <v>-2.4399999999999995</v>
      </c>
    </row>
    <row r="23" spans="2:20">
      <c r="B23" s="36">
        <v>-31019.52</v>
      </c>
      <c r="C23" s="34">
        <f>(D23/B23)</f>
        <v>4.0941961706693071E-4</v>
      </c>
      <c r="D23" s="26">
        <v>-12.7</v>
      </c>
      <c r="R23" s="36">
        <f>(B29+B30)</f>
        <v>4000</v>
      </c>
      <c r="S23" s="34">
        <v>0</v>
      </c>
      <c r="T23" s="26">
        <f>(D29+D30)</f>
        <v>-1.9700000000000006</v>
      </c>
    </row>
    <row r="24" spans="2:20">
      <c r="B24" s="36">
        <v>-20035.650000000001</v>
      </c>
      <c r="C24" s="34">
        <f>(D24/B24)</f>
        <v>5.5501069343894503E-4</v>
      </c>
      <c r="D24" s="26">
        <v>-11.12</v>
      </c>
      <c r="R24" s="36">
        <f>(B31+B32)</f>
        <v>-1.8097233900334686</v>
      </c>
      <c r="S24" s="34">
        <v>0</v>
      </c>
      <c r="T24" s="26">
        <f>(D31+D32)</f>
        <v>-13.982335980000002</v>
      </c>
    </row>
    <row r="25" spans="2:20">
      <c r="B25" s="36">
        <f>(15252.99-15.25299)</f>
        <v>15237.737009999999</v>
      </c>
      <c r="C25" s="34">
        <v>5.1738999999999995E-4</v>
      </c>
      <c r="D25" s="26">
        <f>(B25*C25)</f>
        <v>7.8838527516038983</v>
      </c>
      <c r="N25" s="36"/>
      <c r="R25" s="36">
        <f>(B33+B34+B35)</f>
        <v>8092.1656799999982</v>
      </c>
      <c r="S25" s="34">
        <v>0</v>
      </c>
      <c r="T25" s="26">
        <f>(D33+D34+D35)</f>
        <v>-0.14500000000000135</v>
      </c>
    </row>
    <row r="26" spans="2:20">
      <c r="B26" s="36">
        <f>(4747.01-4.74701)</f>
        <v>4742.2629900000002</v>
      </c>
      <c r="C26" s="34">
        <v>5.1738000000000001E-4</v>
      </c>
      <c r="D26" s="26">
        <f>(B26*C26)</f>
        <v>2.4535520257662</v>
      </c>
      <c r="R26" s="36">
        <f>B36</f>
        <v>-62000</v>
      </c>
      <c r="S26" s="34">
        <f>T26/R26</f>
        <v>2.5846530951612908E-4</v>
      </c>
      <c r="T26" s="27">
        <f>D36</f>
        <v>-16.024849190000001</v>
      </c>
    </row>
    <row r="27" spans="2:20">
      <c r="B27" s="36">
        <v>-40000</v>
      </c>
      <c r="C27" s="34">
        <f t="shared" ref="C27:C37" si="4">(D27/B27)</f>
        <v>3.1099999999999997E-4</v>
      </c>
      <c r="D27" s="26">
        <v>-12.44</v>
      </c>
      <c r="R27" s="36">
        <f>B37</f>
        <v>-150000</v>
      </c>
      <c r="S27" s="34">
        <f>T27/R27</f>
        <v>2.5668117026666668E-4</v>
      </c>
      <c r="T27" s="27">
        <f>D37</f>
        <v>-38.502175540000003</v>
      </c>
    </row>
    <row r="28" spans="2:20">
      <c r="B28" s="36">
        <v>40000</v>
      </c>
      <c r="C28" s="34">
        <f t="shared" si="4"/>
        <v>2.5000000000000001E-4</v>
      </c>
      <c r="D28" s="26">
        <v>10</v>
      </c>
    </row>
    <row r="29" spans="2:20">
      <c r="B29" s="36">
        <v>-40000</v>
      </c>
      <c r="C29" s="34">
        <f t="shared" si="4"/>
        <v>3.0975000000000002E-4</v>
      </c>
      <c r="D29" s="26">
        <v>-12.39</v>
      </c>
    </row>
    <row r="30" spans="2:20">
      <c r="B30" s="36">
        <v>44000</v>
      </c>
      <c r="C30" s="34">
        <f t="shared" si="4"/>
        <v>2.3681818181818182E-4</v>
      </c>
      <c r="D30" s="26">
        <v>10.42</v>
      </c>
    </row>
    <row r="31" spans="2:20">
      <c r="B31" s="36">
        <v>-270017.67672339</v>
      </c>
      <c r="C31" s="34">
        <f t="shared" si="4"/>
        <v>1.7847844839198777E-4</v>
      </c>
      <c r="D31" s="26">
        <v>-48.192335980000003</v>
      </c>
    </row>
    <row r="32" spans="2:20">
      <c r="B32" s="36">
        <f>(272743.3*0.99)</f>
        <v>270015.86699999997</v>
      </c>
      <c r="C32" s="34">
        <f t="shared" si="4"/>
        <v>1.2669625818693094E-4</v>
      </c>
      <c r="D32" s="26">
        <v>34.21</v>
      </c>
      <c r="E32" s="27"/>
    </row>
    <row r="33" spans="2:20">
      <c r="B33" s="36">
        <v>-33998.230000000003</v>
      </c>
      <c r="C33" s="34">
        <f t="shared" si="4"/>
        <v>1.8971575873214574E-4</v>
      </c>
      <c r="D33" s="26">
        <v>-6.45</v>
      </c>
    </row>
    <row r="34" spans="2:20">
      <c r="B34" s="36">
        <v>-20001.77</v>
      </c>
      <c r="C34" s="34">
        <f t="shared" si="4"/>
        <v>1.897332086110379E-4</v>
      </c>
      <c r="D34" s="26">
        <v>-3.7949999999999999</v>
      </c>
    </row>
    <row r="35" spans="2:20">
      <c r="B35" s="36">
        <f>(62154.32-62.15432)</f>
        <v>62092.165679999998</v>
      </c>
      <c r="C35" s="34">
        <f t="shared" si="4"/>
        <v>1.6266142257062921E-4</v>
      </c>
      <c r="D35" s="26">
        <v>10.1</v>
      </c>
      <c r="E35" s="26"/>
    </row>
    <row r="36" spans="2:20">
      <c r="B36" s="36">
        <v>-62000</v>
      </c>
      <c r="C36" s="34">
        <f t="shared" si="4"/>
        <v>2.5846530951612908E-4</v>
      </c>
      <c r="D36" s="26">
        <v>-16.024849190000001</v>
      </c>
      <c r="E36" s="26">
        <f>B36*J3</f>
        <v>-6.92757770381633</v>
      </c>
    </row>
    <row r="37" spans="2:20">
      <c r="B37" s="36">
        <v>-150000</v>
      </c>
      <c r="C37" s="34">
        <f t="shared" si="4"/>
        <v>2.5668117026666668E-4</v>
      </c>
      <c r="D37" s="26">
        <v>-38.502175540000003</v>
      </c>
      <c r="E37" s="26">
        <f>B37*J3</f>
        <v>-16.760268638265316</v>
      </c>
    </row>
    <row r="39" spans="2:20">
      <c r="B39">
        <f>(SUM(B5:B38))</f>
        <v>128042.76035903045</v>
      </c>
      <c r="D39" s="26">
        <f>(SUM(D5:D38))</f>
        <v>-76.307382291799911</v>
      </c>
      <c r="F39" t="s">
        <v>12</v>
      </c>
      <c r="G39" s="34">
        <f>(D39/B39)</f>
        <v>-5.9595233715545402E-4</v>
      </c>
      <c r="R39">
        <f>(SUM(R5:R38))</f>
        <v>128042.76035903045</v>
      </c>
      <c r="T39" s="26">
        <f>(SUM(T5:T38))</f>
        <v>-76.307382291799911</v>
      </c>
    </row>
  </sheetData>
  <conditionalFormatting sqref="C5:C9 C14:C16 C25:C26 C28 C30 C32 C35 G39 O6 O9 S5:S9 S13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O3">
    <cfRule type="cellIs" dxfId="127" priority="1" operator="greaterThan">
      <formula>$J$3</formula>
    </cfRule>
    <cfRule type="cellIs" dxfId="126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9" sqref="R9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0.77806838798410916</v>
      </c>
      <c r="N3" s="19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45.18499610709069</v>
      </c>
      <c r="K4" s="4">
        <f>(J4/D18-1)</f>
        <v>-0.10642137176657385</v>
      </c>
      <c r="O4" s="26"/>
      <c r="P4" s="26"/>
      <c r="R4" t="s">
        <v>5</v>
      </c>
      <c r="S4" t="s">
        <v>6</v>
      </c>
      <c r="T4" t="s">
        <v>7</v>
      </c>
    </row>
    <row r="5" spans="2:21">
      <c r="B5" s="19">
        <v>12.2</v>
      </c>
      <c r="C5" s="26">
        <f>(D5/B5)</f>
        <v>0.8606557377049181</v>
      </c>
      <c r="D5" s="26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6">
        <f>(T5/R5)</f>
        <v>0.8606557377049181</v>
      </c>
      <c r="T5" s="26">
        <f>D5</f>
        <v>10.5</v>
      </c>
    </row>
    <row r="6" spans="2:21">
      <c r="B6" s="20">
        <v>0.32206752</v>
      </c>
      <c r="C6" s="29">
        <v>0</v>
      </c>
      <c r="D6" s="30">
        <f>(B6*C6)</f>
        <v>0</v>
      </c>
      <c r="E6" s="26">
        <f>(B6*J3)</f>
        <v>0.25059055610843983</v>
      </c>
      <c r="M6" t="s">
        <v>10</v>
      </c>
      <c r="N6" s="19">
        <f>($B$7+$R$9+$R$6)/5</f>
        <v>8.9399634937777783</v>
      </c>
      <c r="O6" s="26">
        <f>($S$7*[1]Params!K8)</f>
        <v>1.1975720777093433</v>
      </c>
      <c r="P6" s="26">
        <f>(O6*N6)</f>
        <v>10.706250655889134</v>
      </c>
      <c r="R6" s="48">
        <f>(B6)</f>
        <v>0.32206752</v>
      </c>
      <c r="S6" s="29">
        <v>0</v>
      </c>
      <c r="T6" s="30">
        <f>(D6)</f>
        <v>0</v>
      </c>
      <c r="U6" s="26">
        <f>(R6*J3)</f>
        <v>0.25059055610843983</v>
      </c>
    </row>
    <row r="7" spans="2:21">
      <c r="B7" s="19">
        <v>43.746844950000003</v>
      </c>
      <c r="C7" s="26">
        <f t="shared" ref="C7:C14" si="0">(D7/B7)</f>
        <v>0.92120929054564871</v>
      </c>
      <c r="D7" s="26">
        <v>40.299999999999997</v>
      </c>
      <c r="E7" t="s">
        <v>15</v>
      </c>
      <c r="N7" s="19">
        <f>($B$7+$R$9+$R$6)/5</f>
        <v>8.9399634937777783</v>
      </c>
      <c r="O7" s="26">
        <f>($S$7*[1]Params!K9)</f>
        <v>1.4739348648730379</v>
      </c>
      <c r="P7" s="26">
        <f>(O7*N7)</f>
        <v>13.176923884171241</v>
      </c>
      <c r="R7" s="19">
        <f>B7</f>
        <v>43.746844950000003</v>
      </c>
      <c r="S7" s="26">
        <f>(T7/R7)</f>
        <v>0.92120929054564871</v>
      </c>
      <c r="T7" s="26">
        <f>D7</f>
        <v>40.299999999999997</v>
      </c>
      <c r="U7" t="s">
        <v>15</v>
      </c>
    </row>
    <row r="8" spans="2:21">
      <c r="B8" s="19">
        <v>0.63003905000000004</v>
      </c>
      <c r="C8" s="26">
        <f t="shared" si="0"/>
        <v>0.79360160294826165</v>
      </c>
      <c r="D8" s="26">
        <v>0.5</v>
      </c>
      <c r="N8" s="19">
        <f>($B$7+$R$9+$R$6)/5</f>
        <v>8.9399634937777783</v>
      </c>
      <c r="O8" s="26">
        <f>($S$7*[1]Params!K10)</f>
        <v>2.0266604392004273</v>
      </c>
      <c r="P8" s="26">
        <f>(O8*N8)</f>
        <v>18.11827034073546</v>
      </c>
      <c r="R8" s="19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9">
        <v>-1.08</v>
      </c>
      <c r="C9" s="26">
        <f t="shared" si="0"/>
        <v>1.0499999999999998</v>
      </c>
      <c r="D9" s="26">
        <v>-1.1339999999999999</v>
      </c>
      <c r="N9" s="19">
        <f>($B$7+$R$9+$R$6)/5</f>
        <v>8.9399634937777783</v>
      </c>
      <c r="O9" s="26">
        <f>($C$7*[1]Params!K11)</f>
        <v>4.6060464527282434</v>
      </c>
      <c r="P9" s="26">
        <f>(O9*N9)</f>
        <v>41.177887138035132</v>
      </c>
      <c r="R9" s="19">
        <f>SUM(B9,B12,B13,B16)</f>
        <v>0.63090499888888907</v>
      </c>
      <c r="S9" s="26">
        <v>0</v>
      </c>
      <c r="T9" s="26">
        <f>SUM(D9,D12,D13,D16)</f>
        <v>-0.16714507569935888</v>
      </c>
    </row>
    <row r="10" spans="2:21">
      <c r="B10" s="19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9">
        <f>SUM(B10,B11,B14,B15,)</f>
        <v>0.54343987111111103</v>
      </c>
      <c r="S10" s="26">
        <v>0</v>
      </c>
      <c r="T10" s="26">
        <f>SUM(D10,D11,D14,D15)</f>
        <v>-0.56652009999999953</v>
      </c>
    </row>
    <row r="11" spans="2:21">
      <c r="B11" s="19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83.179332018830962</v>
      </c>
      <c r="R11" s="19"/>
      <c r="S11" s="26"/>
      <c r="T11" s="26"/>
    </row>
    <row r="12" spans="2:21">
      <c r="B12" s="19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9">
        <v>3.0223285400000002</v>
      </c>
      <c r="C13" s="26">
        <f t="shared" si="0"/>
        <v>1.2540000035866385</v>
      </c>
      <c r="D13" s="26">
        <v>3.79</v>
      </c>
      <c r="N13" t="s">
        <v>32</v>
      </c>
      <c r="O13" t="s">
        <v>1</v>
      </c>
      <c r="P13" t="s">
        <v>2</v>
      </c>
      <c r="S13" s="26"/>
      <c r="T13" s="26"/>
    </row>
    <row r="14" spans="2:21">
      <c r="B14" s="19">
        <v>2.7123287600000001</v>
      </c>
      <c r="C14" s="26">
        <f t="shared" si="0"/>
        <v>1.0950000028757576</v>
      </c>
      <c r="D14" s="26">
        <v>2.97</v>
      </c>
      <c r="M14" t="s">
        <v>10</v>
      </c>
      <c r="N14" s="19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9">
        <f>2.44/0.9</f>
        <v>2.7111111111111108</v>
      </c>
      <c r="C15" s="26">
        <v>0.84715200000000002</v>
      </c>
      <c r="D15" s="26">
        <f>B15*C15</f>
        <v>2.2967231999999997</v>
      </c>
      <c r="N15" s="19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9">
        <f>4.11968757-B15</f>
        <v>1.4085764588888892</v>
      </c>
      <c r="C16" s="26">
        <v>0.84715200000000002</v>
      </c>
      <c r="D16" s="26">
        <f>B16*C16</f>
        <v>1.1932783643006402</v>
      </c>
      <c r="N16" s="19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9"/>
      <c r="F17" t="s">
        <v>12</v>
      </c>
      <c r="G17" s="26">
        <f>(D18/B18)</f>
        <v>0.87073298689150991</v>
      </c>
      <c r="N17" s="19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58.073296390000003</v>
      </c>
      <c r="S17" s="26"/>
      <c r="T17" s="26">
        <f>(SUM(T5:T12))</f>
        <v>50.56633482430064</v>
      </c>
    </row>
    <row r="18" spans="2:20">
      <c r="B18" s="19">
        <f>(SUM(B5:B17))</f>
        <v>58.073296390000003</v>
      </c>
      <c r="D18" s="26">
        <f>(SUM(D5:D17))</f>
        <v>50.56633482430064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25" priority="25" operator="lessThan">
      <formula>$J$3</formula>
    </cfRule>
    <cfRule type="cellIs" dxfId="124" priority="26" operator="greaterThan">
      <formula>$J$3</formula>
    </cfRule>
  </conditionalFormatting>
  <conditionalFormatting sqref="S8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17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44" width="9.140625" style="14" customWidth="1"/>
    <col min="245" max="16384" width="9.140625" style="14"/>
  </cols>
  <sheetData>
    <row r="3" spans="2:16">
      <c r="I3" t="s">
        <v>3</v>
      </c>
      <c r="J3" s="46">
        <v>2.192678316992832E-2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1.4209748640019744</v>
      </c>
      <c r="K4" s="4">
        <f>(J4/D10-1)</f>
        <v>-0.28951256799901282</v>
      </c>
    </row>
    <row r="5" spans="2:16">
      <c r="B5" s="36">
        <v>64.74873341</v>
      </c>
      <c r="C5" s="46">
        <f>(D5/B5)</f>
        <v>3.0888635107897165E-2</v>
      </c>
      <c r="D5" s="26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8">
        <v>5.6708090000000003E-2</v>
      </c>
      <c r="C6" s="29">
        <v>0</v>
      </c>
      <c r="D6" s="30">
        <f>(B6*C6)</f>
        <v>0</v>
      </c>
      <c r="E6" s="26">
        <f>(B6*J3)</f>
        <v>1.2434259934107805E-3</v>
      </c>
      <c r="M6" t="s">
        <v>10</v>
      </c>
      <c r="N6" s="36">
        <f>($B$10/5)</f>
        <v>12.9610883</v>
      </c>
      <c r="O6" s="46">
        <f>($C$5*[1]Params!K8)</f>
        <v>4.0155225640266315E-2</v>
      </c>
      <c r="P6" s="26">
        <f>(O6*N6)</f>
        <v>0.52045542522991572</v>
      </c>
    </row>
    <row r="7" spans="2:16">
      <c r="B7" s="36"/>
      <c r="C7" s="26"/>
      <c r="D7" s="28"/>
      <c r="E7" s="26"/>
      <c r="N7" s="36">
        <f>($B$10/5)</f>
        <v>12.9610883</v>
      </c>
      <c r="O7" s="46">
        <f>($C$5*[1]Params!K9)</f>
        <v>4.9421816172635469E-2</v>
      </c>
      <c r="P7" s="26">
        <f>(O7*N7)</f>
        <v>0.64056052335989633</v>
      </c>
    </row>
    <row r="8" spans="2:16">
      <c r="N8" s="36">
        <f>($B$10/5)</f>
        <v>12.9610883</v>
      </c>
      <c r="O8" s="46">
        <f>($C$5*[1]Params!K10)</f>
        <v>6.7954997237373763E-2</v>
      </c>
      <c r="P8" s="26">
        <f>(O8*N8)</f>
        <v>0.88077071961985742</v>
      </c>
    </row>
    <row r="9" spans="2:16">
      <c r="F9" t="s">
        <v>12</v>
      </c>
      <c r="G9" s="26">
        <f>(D10/B10)</f>
        <v>3.0861605965603982E-2</v>
      </c>
      <c r="N9" s="36">
        <f>($B$10/5)</f>
        <v>12.9610883</v>
      </c>
      <c r="O9" s="46">
        <f>($C$5*[1]Params!K11)</f>
        <v>0.15444317553948583</v>
      </c>
      <c r="P9" s="26">
        <f>(O9*N9)</f>
        <v>2.0017516354996761</v>
      </c>
    </row>
    <row r="10" spans="2:16">
      <c r="B10" s="36">
        <f>(SUM(B5:B9))</f>
        <v>64.805441500000001</v>
      </c>
      <c r="D10" s="26">
        <f>(SUM(D5:D9))</f>
        <v>2</v>
      </c>
    </row>
    <row r="11" spans="2:16">
      <c r="P11" s="26">
        <f>(SUM(P6:P9))</f>
        <v>4.0435383037093455</v>
      </c>
    </row>
    <row r="22" spans="10:10">
      <c r="J22" s="24"/>
    </row>
  </sheetData>
  <conditionalFormatting sqref="C5">
    <cfRule type="cellIs" dxfId="119" priority="11" operator="lessThan">
      <formula>$J$3</formula>
    </cfRule>
    <cfRule type="cellIs" dxfId="118" priority="12" operator="greaterThan">
      <formula>$J$3</formula>
    </cfRule>
    <cfRule type="cellIs" dxfId="117" priority="5" operator="lessThan">
      <formula>$J$3</formula>
    </cfRule>
    <cfRule type="cellIs" dxfId="116" priority="6" operator="greaterThan">
      <formula>$J$3</formula>
    </cfRule>
  </conditionalFormatting>
  <conditionalFormatting sqref="O6:O9">
    <cfRule type="cellIs" dxfId="115" priority="9" operator="lessThan">
      <formula>$J$3</formula>
    </cfRule>
    <cfRule type="cellIs" dxfId="114" priority="10" operator="greaterThan">
      <formula>$J$3</formula>
    </cfRule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9">
    <cfRule type="cellIs" dxfId="111" priority="7" operator="lessThan">
      <formula>$J$3</formula>
    </cfRule>
    <cfRule type="cellIs" dxfId="110" priority="8" operator="greaterThan">
      <formula>$J$3</formula>
    </cfRule>
    <cfRule type="cellIs" dxfId="109" priority="1" operator="lessThan">
      <formula>$J$3</formula>
    </cfRule>
    <cfRule type="cellIs" dxfId="108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6">
        <v>1.037443226482182</v>
      </c>
      <c r="M3" t="s">
        <v>4</v>
      </c>
      <c r="N3" s="24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36.298311764578351</v>
      </c>
      <c r="K4" s="4">
        <f>(J4/D13-1)</f>
        <v>2.2238361176815258</v>
      </c>
      <c r="R4" t="s">
        <v>5</v>
      </c>
      <c r="S4" t="s">
        <v>6</v>
      </c>
      <c r="T4" t="s">
        <v>7</v>
      </c>
    </row>
    <row r="5" spans="2:22">
      <c r="B5" s="36">
        <v>52.247700000000002</v>
      </c>
      <c r="C5" s="26">
        <f>(D5/B5)</f>
        <v>0.7577367041994193</v>
      </c>
      <c r="D5" s="26">
        <v>39.590000000000003</v>
      </c>
      <c r="N5" t="s">
        <v>32</v>
      </c>
      <c r="O5" t="s">
        <v>1</v>
      </c>
      <c r="P5" t="s">
        <v>2</v>
      </c>
      <c r="R5" s="36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8">
        <v>0.33953919999999999</v>
      </c>
      <c r="C6" s="29">
        <v>0</v>
      </c>
      <c r="D6" s="30">
        <f>(B6*C6)</f>
        <v>0</v>
      </c>
      <c r="E6" s="26">
        <f>(B6*J3)</f>
        <v>0.3522526431651789</v>
      </c>
      <c r="M6" t="s">
        <v>10</v>
      </c>
      <c r="N6" s="36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8">
        <v>0.33622554999999998</v>
      </c>
      <c r="S6" s="29">
        <v>0</v>
      </c>
      <c r="T6" s="30">
        <f>(R6*S6)</f>
        <v>0</v>
      </c>
      <c r="U6" s="26">
        <f>(E6)</f>
        <v>0.3522526431651789</v>
      </c>
    </row>
    <row r="7" spans="2:22">
      <c r="B7" s="36">
        <v>2.3809999999999998</v>
      </c>
      <c r="C7" s="26">
        <v>0</v>
      </c>
      <c r="D7" s="28">
        <f>(B7*C7)</f>
        <v>0</v>
      </c>
      <c r="E7" s="26">
        <f>(B7*J3)</f>
        <v>2.4701523222540751</v>
      </c>
      <c r="N7" s="36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6">
        <f>(B7)</f>
        <v>2.3809999999999998</v>
      </c>
      <c r="S7" s="26">
        <v>0</v>
      </c>
      <c r="T7" s="28">
        <f>(D7)</f>
        <v>0</v>
      </c>
    </row>
    <row r="8" spans="2:22">
      <c r="B8" s="36">
        <v>-10.99</v>
      </c>
      <c r="C8" s="27">
        <f>D8/B8</f>
        <v>1.1297558853503185</v>
      </c>
      <c r="D8" s="26">
        <f>-12.41601718</f>
        <v>-12.416017180000001</v>
      </c>
      <c r="N8" s="36">
        <f>3*($B$13+$N$7+$N$6)/5-N7-N6</f>
        <v>12.200943519999997</v>
      </c>
      <c r="O8" s="26">
        <f>($C$5*[1]Params!K10)</f>
        <v>1.6670207492387226</v>
      </c>
      <c r="P8" s="26">
        <f>N8*O8</f>
        <v>20.339226008129732</v>
      </c>
      <c r="R8" s="36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6">
        <v>-10.99</v>
      </c>
      <c r="C9" s="27">
        <f>D9/B9</f>
        <v>1.233496991810737</v>
      </c>
      <c r="D9" s="26">
        <v>-13.55613194</v>
      </c>
      <c r="N9" s="36">
        <f>($B$13+$N$7+$N$6)/5</f>
        <v>11.39364784</v>
      </c>
      <c r="O9" s="26">
        <f>($C$5*[1]Params!K11)</f>
        <v>3.7886835209970964</v>
      </c>
      <c r="P9" s="26">
        <f>(O9*N9)</f>
        <v>43.16692581545216</v>
      </c>
      <c r="R9" s="36">
        <f>B9</f>
        <v>-10.99</v>
      </c>
      <c r="S9" s="26">
        <f>T9/R9</f>
        <v>1.233496991810737</v>
      </c>
      <c r="T9" s="26">
        <f>D9</f>
        <v>-13.55613194</v>
      </c>
      <c r="V9" s="27"/>
    </row>
    <row r="10" spans="2:22">
      <c r="B10" s="36">
        <v>-11</v>
      </c>
      <c r="C10" s="27">
        <f>D10/B10</f>
        <v>1.6782878045454546</v>
      </c>
      <c r="D10" s="26">
        <f>-18.46116585</f>
        <v>-18.46116585</v>
      </c>
      <c r="R10" s="36">
        <f>B10+B11</f>
        <v>2</v>
      </c>
      <c r="S10" s="26">
        <v>0</v>
      </c>
      <c r="T10" s="26">
        <f>D10+D11</f>
        <v>-2.3584969800000017</v>
      </c>
      <c r="V10" s="27"/>
    </row>
    <row r="11" spans="2:22">
      <c r="B11" s="36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0.32180395920009608</v>
      </c>
      <c r="P11" s="26">
        <f>(SUM(P6:P9))</f>
        <v>89.4783009435819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6">
        <f>(SUM(B5:B11))</f>
        <v>34.988239199999995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4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107" priority="11" operator="lessThan">
      <formula>$J$3</formula>
    </cfRule>
    <cfRule type="cellIs" dxfId="106" priority="12" operator="greaterThan">
      <formula>$J$3</formula>
    </cfRule>
  </conditionalFormatting>
  <conditionalFormatting sqref="O3">
    <cfRule type="cellIs" dxfId="105" priority="5" operator="greaterThan">
      <formula>$J$3</formula>
    </cfRule>
    <cfRule type="cellIs" dxfId="104" priority="6" operator="lessThan">
      <formula>$J$3</formula>
    </cfRule>
  </conditionalFormatting>
  <conditionalFormatting sqref="C11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3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3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3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3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3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3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3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3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3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3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3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3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3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3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3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3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3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3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3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3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3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3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3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3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3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3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3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3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3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3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3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3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3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3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3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3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3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3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3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3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3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3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3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3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3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3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3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3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3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3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3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3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3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3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3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3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3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3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3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3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3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3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3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3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3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3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3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3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3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3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3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3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3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3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3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3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3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3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3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3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3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3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3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3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3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3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3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3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3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3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3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3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3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3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3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3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3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3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3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3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3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3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3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3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3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3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3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3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3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3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3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3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3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3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3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3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3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3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3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3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3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3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3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3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3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3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3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3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3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3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3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3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3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3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3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3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3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3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3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3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3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3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3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3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3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3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3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3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3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3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3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3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3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3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3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3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3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3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3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3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3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3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3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3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3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3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3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3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3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3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3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3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3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3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3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3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3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3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3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3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3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3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3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3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3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3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3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3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3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3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3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3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3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3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3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3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3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3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3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3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3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3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3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3.166278465032629</v>
      </c>
      <c r="M3" t="s">
        <v>4</v>
      </c>
      <c r="N3" s="24">
        <f>(INDEX(N5:N31,MATCH(MAX(O6:O8,O14:O16),O5:O31,0))/0.85)</f>
        <v>5.6705882352941179</v>
      </c>
      <c r="O3" s="27">
        <f>(MAX(O6:O8,O14:O16)*0.75)</f>
        <v>2.9470835399377591</v>
      </c>
      <c r="P3" s="26">
        <f>(O3*N3)</f>
        <v>16.71169725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(B25*J3)</f>
        <v>31.592857075885913</v>
      </c>
      <c r="K4" s="4">
        <f>(J4/D25-1)</f>
        <v>-14.656925683382498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22.613660530000001</v>
      </c>
      <c r="C6" s="26">
        <f>(D6/B6)</f>
        <v>1.7821086482896804</v>
      </c>
      <c r="D6" s="26">
        <v>40.299999999999997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B6+B19+B21+B23</f>
        <v>8.9636605299999985</v>
      </c>
      <c r="S6" s="26">
        <f>(T6/R6)</f>
        <v>1.8130617447646693</v>
      </c>
      <c r="T6" s="26">
        <f>D6+B19*1.74+B21*1.7718+B23*1.7718</f>
        <v>16.251669999999997</v>
      </c>
      <c r="U6" s="26" t="str">
        <f>(E6)</f>
        <v>DCA2</v>
      </c>
    </row>
    <row r="7" spans="2:22">
      <c r="B7" s="2">
        <v>0.10104444</v>
      </c>
      <c r="C7" s="29">
        <v>0</v>
      </c>
      <c r="D7" s="30">
        <v>0</v>
      </c>
      <c r="E7" s="27">
        <f>B7*J3</f>
        <v>0.31993483438328157</v>
      </c>
      <c r="N7" s="1">
        <f>(($B$5+$R$9)/5)</f>
        <v>0.38226118247719681</v>
      </c>
      <c r="O7" s="26">
        <f>($C$5*[1]Params!K9)</f>
        <v>2.6815642458100561</v>
      </c>
      <c r="P7" s="26">
        <f>(O7*N7)</f>
        <v>1.0250579194919245</v>
      </c>
      <c r="Q7" t="s">
        <v>11</v>
      </c>
      <c r="R7" s="2">
        <f>(B7)</f>
        <v>0.10104444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-B22</f>
        <v>0.37933818000000002</v>
      </c>
      <c r="O8" s="26">
        <f>P8/N8</f>
        <v>3.640698650475942</v>
      </c>
      <c r="P8" s="26">
        <f>-D22</f>
        <v>1.3810560000000001</v>
      </c>
      <c r="Q8" t="s">
        <v>11</v>
      </c>
      <c r="R8" s="1">
        <f>(B10+B13+B8+B17)</f>
        <v>0.13581527000000004</v>
      </c>
      <c r="S8" s="26">
        <v>0</v>
      </c>
      <c r="T8" s="26">
        <f>(D10+D13+D8+D17)</f>
        <v>-0.13482086999999998</v>
      </c>
      <c r="U8" t="s">
        <v>86</v>
      </c>
      <c r="V8" s="27">
        <f>-T8+R8*$J$3</f>
        <v>0.56484983462359217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0.38226118247719681</v>
      </c>
      <c r="O9" s="26">
        <f>($C$5*[1]Params!K11)</f>
        <v>8.3798882681564244</v>
      </c>
      <c r="P9" s="26">
        <f>(O9*N9)</f>
        <v>3.2033059984122638</v>
      </c>
      <c r="R9" s="1">
        <f>(B12+B11+B9+B14+B15+B16)</f>
        <v>0.12130591238598404</v>
      </c>
      <c r="S9" s="26">
        <v>0</v>
      </c>
      <c r="T9" s="26">
        <f>(D12+D11+D9+D14)+D15+D16</f>
        <v>-0.16610499999999995</v>
      </c>
      <c r="U9" t="s">
        <v>85</v>
      </c>
      <c r="V9" s="27">
        <f>-T9+R9*$J$3</f>
        <v>0.55019329806887607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87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6.4315099179041884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>
        <f>B22</f>
        <v>-0.37933818000000002</v>
      </c>
      <c r="S14" s="26">
        <f>T14/R14</f>
        <v>3.640698650475942</v>
      </c>
      <c r="T14" s="26">
        <f>D22</f>
        <v>-1.3810560000000001</v>
      </c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>
        <f>B23-B23</f>
        <v>0</v>
      </c>
      <c r="S15" s="26">
        <v>0</v>
      </c>
      <c r="T15" s="26">
        <f>D23-B23*1.7718</f>
        <v>-10.399847549999999</v>
      </c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-B23</f>
        <v>4.82</v>
      </c>
      <c r="O16" s="26">
        <f>P16/N16</f>
        <v>3.9294447199170119</v>
      </c>
      <c r="P16" s="26">
        <f>-D23</f>
        <v>18.93992355</v>
      </c>
      <c r="Q16" t="s">
        <v>11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4*(($B$6+$R$8+$R$7)/5)-N15-N14-N16</f>
        <v>4.6304161919999949</v>
      </c>
      <c r="O17" s="26">
        <f>($S$6*[1]Params!K11)</f>
        <v>9.0653087238233461</v>
      </c>
      <c r="P17" s="26">
        <f>(O17*N17)</f>
        <v>41.976152300270428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84.07674073027043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C24" s="26"/>
      <c r="D24" s="26"/>
      <c r="F24" t="s">
        <v>12</v>
      </c>
      <c r="G24" s="26">
        <f>(D25/B25)</f>
        <v>-0.23184416013080453</v>
      </c>
      <c r="S24" s="26"/>
      <c r="T24" s="26"/>
    </row>
    <row r="25" spans="2:20">
      <c r="B25" s="1">
        <f>(SUM(B5:B24))</f>
        <v>9.9779149006593588</v>
      </c>
      <c r="C25" s="26"/>
      <c r="D25" s="26">
        <f>(SUM(D5:D24))</f>
        <v>-2.313321300000009</v>
      </c>
      <c r="S25" s="26"/>
      <c r="T25" s="26"/>
    </row>
    <row r="26" spans="2:20">
      <c r="S26" s="26"/>
      <c r="T26" s="26"/>
    </row>
    <row r="27" spans="2:20">
      <c r="S27" s="26"/>
      <c r="T27" s="26"/>
    </row>
    <row r="28" spans="2:20">
      <c r="R28" s="1">
        <f>(SUM(R5:R27))</f>
        <v>9.9779149006593642</v>
      </c>
      <c r="S28" s="26"/>
      <c r="T28" s="26">
        <f>(SUM(T5:T27))</f>
        <v>-2.3133213000000037</v>
      </c>
    </row>
  </sheetData>
  <conditionalFormatting sqref="C5:C6 C12:C14 C16:C17 O9 O17 S5:S6">
    <cfRule type="cellIs" dxfId="101" priority="21" operator="lessThan">
      <formula>$J$3</formula>
    </cfRule>
    <cfRule type="cellIs" dxfId="100" priority="22" operator="greaterThan">
      <formula>$J$3</formula>
    </cfRule>
  </conditionalFormatting>
  <conditionalFormatting sqref="O3">
    <cfRule type="cellIs" dxfId="99" priority="3" operator="greaterThan">
      <formula>$J$3</formula>
    </cfRule>
    <cfRule type="cellIs" dxfId="98" priority="4" operator="lessThan">
      <formula>$J$3</formula>
    </cfRule>
  </conditionalFormatting>
  <conditionalFormatting sqref="G24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65" width="9.140625" style="14" customWidth="1"/>
    <col min="26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0.63007666889008695</v>
      </c>
      <c r="M3" t="s">
        <v>4</v>
      </c>
      <c r="N3" s="36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2.3955612361054128</v>
      </c>
      <c r="K4" s="4">
        <f>(J4/D14-1)</f>
        <v>-18.223749488210803</v>
      </c>
      <c r="R4" t="s">
        <v>5</v>
      </c>
      <c r="S4" t="s">
        <v>6</v>
      </c>
      <c r="T4" t="s">
        <v>7</v>
      </c>
    </row>
    <row r="5" spans="2:21">
      <c r="B5" s="36">
        <v>9.4096547000000008</v>
      </c>
      <c r="C5" s="26">
        <f>(D5/B5)</f>
        <v>0.23380241572520191</v>
      </c>
      <c r="D5" s="26">
        <v>2.2000000000000002</v>
      </c>
      <c r="N5" t="s">
        <v>32</v>
      </c>
      <c r="O5" t="s">
        <v>1</v>
      </c>
      <c r="P5" t="s">
        <v>2</v>
      </c>
      <c r="R5" s="36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8">
        <v>7.5360759999999999E-2</v>
      </c>
      <c r="C6" s="29">
        <v>0</v>
      </c>
      <c r="D6" s="29">
        <f>(B6*C6)</f>
        <v>0</v>
      </c>
      <c r="E6" s="26">
        <f>(B6*J3)</f>
        <v>4.7483056625825311E-2</v>
      </c>
      <c r="M6" t="s">
        <v>10</v>
      </c>
      <c r="N6" s="36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8">
        <f>(B6)</f>
        <v>7.5360759999999999E-2</v>
      </c>
      <c r="S6" s="29">
        <v>0</v>
      </c>
      <c r="T6" s="29">
        <f>(D6)</f>
        <v>0</v>
      </c>
      <c r="U6" s="26">
        <f>(E6)</f>
        <v>4.7483056625825311E-2</v>
      </c>
    </row>
    <row r="7" spans="2:21">
      <c r="B7" s="36">
        <v>-3.7930000000000001</v>
      </c>
      <c r="C7" s="26">
        <f>D7/B7</f>
        <v>0.3413179752175059</v>
      </c>
      <c r="D7" s="26">
        <f>-1.29461908</f>
        <v>-1.2946190799999999</v>
      </c>
      <c r="N7" s="36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6"/>
      <c r="S7" s="26"/>
      <c r="T7" s="26"/>
      <c r="U7" s="27"/>
    </row>
    <row r="8" spans="2:21">
      <c r="B8" s="36">
        <v>-1.89</v>
      </c>
      <c r="C8" s="26">
        <f>D8/B8</f>
        <v>0.55262734920634926</v>
      </c>
      <c r="D8" s="26">
        <v>-1.04446569</v>
      </c>
      <c r="N8" s="36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6"/>
      <c r="S8" s="26"/>
      <c r="T8" s="26"/>
    </row>
    <row r="9" spans="2:21">
      <c r="B9" s="36"/>
      <c r="C9" s="26"/>
      <c r="D9" s="26"/>
      <c r="N9" s="36">
        <f>4*($B$14-B7-B8)/5+B7+B8</f>
        <v>1.9050123680000011</v>
      </c>
      <c r="O9" s="26">
        <f>($C$5*[1]Params!K11)</f>
        <v>1.1690120786260096</v>
      </c>
      <c r="P9" s="26">
        <f>(O9*N9)</f>
        <v>2.2269824681239379</v>
      </c>
      <c r="Q9" s="27"/>
    </row>
    <row r="10" spans="2:21">
      <c r="B10" s="36"/>
      <c r="C10" s="26"/>
      <c r="D10" s="26"/>
    </row>
    <row r="12" spans="2:21">
      <c r="P12" s="26">
        <f>(SUM(P6:P9))</f>
        <v>4.5421031581239379</v>
      </c>
    </row>
    <row r="13" spans="2:21">
      <c r="F13" t="s">
        <v>12</v>
      </c>
      <c r="G13" s="26">
        <f>(D14/B14)</f>
        <v>-3.6581852826027092E-2</v>
      </c>
    </row>
    <row r="14" spans="2:21">
      <c r="B14" s="36">
        <f>(SUM(B5:B13))</f>
        <v>3.8020154600000016</v>
      </c>
      <c r="D14" s="26">
        <f>(SUM(D5:D13))</f>
        <v>-0.13908476999999975</v>
      </c>
    </row>
    <row r="17" spans="11:20">
      <c r="N17" s="36"/>
      <c r="R17" s="36">
        <f>(SUM(R5:R16))</f>
        <v>9.4850154600000014</v>
      </c>
      <c r="T17" s="26">
        <f>(SUM(T5:T16))</f>
        <v>2.2000000000000002</v>
      </c>
    </row>
    <row r="20" spans="11:20">
      <c r="K20" s="27"/>
    </row>
    <row r="26" spans="11:20">
      <c r="O26" s="54"/>
    </row>
  </sheetData>
  <conditionalFormatting sqref="C5">
    <cfRule type="cellIs" dxfId="95" priority="13" operator="lessThan">
      <formula>$J$3</formula>
    </cfRule>
    <cfRule type="cellIs" dxfId="94" priority="14" operator="greaterThan">
      <formula>$J$3</formula>
    </cfRule>
  </conditionalFormatting>
  <conditionalFormatting sqref="O9">
    <cfRule type="cellIs" dxfId="93" priority="9" operator="lessThan">
      <formula>$J$3</formula>
    </cfRule>
    <cfRule type="cellIs" dxfId="92" priority="10" operator="greaterThan">
      <formula>$J$3</formula>
    </cfRule>
  </conditionalFormatting>
  <conditionalFormatting sqref="S5">
    <cfRule type="cellIs" dxfId="91" priority="7" operator="lessThan">
      <formula>$J$3</formula>
    </cfRule>
    <cfRule type="cellIs" dxfId="90" priority="8" operator="greaterThan">
      <formula>$J$3</formula>
    </cfRule>
  </conditionalFormatting>
  <conditionalFormatting sqref="G1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3">
    <cfRule type="cellIs" dxfId="87" priority="1" operator="greaterThan">
      <formula>$J$3</formula>
    </cfRule>
    <cfRule type="cellIs" dxfId="86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Q16" sqref="Q16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9.0473638198795422E-6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3.9789569624415289</v>
      </c>
      <c r="K4" s="4">
        <f>(J4/D13-1)</f>
        <v>-0.20895487824224079</v>
      </c>
    </row>
    <row r="5" spans="2:16">
      <c r="B5" s="22">
        <v>439531.68</v>
      </c>
      <c r="C5" s="55">
        <f>(D5/B5)</f>
        <v>1.1443998757950737E-5</v>
      </c>
      <c r="D5" s="26">
        <v>5.03</v>
      </c>
      <c r="E5" s="26"/>
      <c r="F5" s="26"/>
      <c r="G5" s="26"/>
      <c r="N5" t="s">
        <v>32</v>
      </c>
      <c r="O5" t="s">
        <v>1</v>
      </c>
      <c r="P5" t="s">
        <v>2</v>
      </c>
    </row>
    <row r="6" spans="2:16">
      <c r="B6" s="23">
        <v>260.18</v>
      </c>
      <c r="C6" s="29">
        <v>0</v>
      </c>
      <c r="D6" s="30">
        <f>(B6*C6)</f>
        <v>0</v>
      </c>
      <c r="E6" s="26">
        <f>(B6*J3)</f>
        <v>2.3539431186562596E-3</v>
      </c>
      <c r="F6" s="26"/>
      <c r="G6" s="26"/>
      <c r="M6" t="s">
        <v>10</v>
      </c>
      <c r="N6" s="22">
        <f>($B$5/5)</f>
        <v>87906.335999999996</v>
      </c>
      <c r="O6" s="55">
        <f>($C$5*[1]Params!K8)</f>
        <v>1.4877198385335959E-5</v>
      </c>
      <c r="P6" s="26">
        <f>(O6*N6)</f>
        <v>1.3078000000000003</v>
      </c>
    </row>
    <row r="7" spans="2:16">
      <c r="C7" s="26"/>
      <c r="D7" s="26"/>
      <c r="E7" s="26"/>
      <c r="F7" s="26"/>
      <c r="G7" s="26"/>
      <c r="N7" s="22">
        <f>($B$5/5)</f>
        <v>87906.335999999996</v>
      </c>
      <c r="O7" s="55">
        <f>($C$5*[1]Params!K9)</f>
        <v>1.8310398012721179E-5</v>
      </c>
      <c r="P7" s="26">
        <f>(O7*N7)</f>
        <v>1.6096000000000001</v>
      </c>
    </row>
    <row r="8" spans="2:16">
      <c r="C8" s="26"/>
      <c r="D8" s="26"/>
      <c r="E8" s="26"/>
      <c r="F8" s="26"/>
      <c r="G8" s="26"/>
      <c r="N8" s="22">
        <f>($B$5/5)</f>
        <v>87906.335999999996</v>
      </c>
      <c r="O8" s="55">
        <f>($C$5*[1]Params!K10)</f>
        <v>2.5176797267491623E-5</v>
      </c>
      <c r="P8" s="26">
        <f>(O8*N8)</f>
        <v>2.2132000000000005</v>
      </c>
    </row>
    <row r="9" spans="2:16">
      <c r="C9" s="26"/>
      <c r="D9" s="26"/>
      <c r="E9" s="26"/>
      <c r="F9" s="26"/>
      <c r="G9" s="26"/>
      <c r="N9" s="22">
        <f>($B$5/5)</f>
        <v>87906.335999999996</v>
      </c>
      <c r="O9" s="55">
        <f>($C$5*[1]Params!K11)</f>
        <v>5.7219993789753684E-5</v>
      </c>
      <c r="P9" s="26">
        <f>(O9*N9)</f>
        <v>5.03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10.160600000000002</v>
      </c>
    </row>
    <row r="12" spans="2:16">
      <c r="C12" s="26"/>
      <c r="D12" s="26"/>
      <c r="E12" s="26"/>
      <c r="F12" s="26" t="s">
        <v>12</v>
      </c>
      <c r="G12" s="26">
        <f>(D13/B13)</f>
        <v>1.1437228510777804E-5</v>
      </c>
    </row>
    <row r="13" spans="2:16">
      <c r="B13">
        <f>(SUM(B5:B12))</f>
        <v>439791.86</v>
      </c>
      <c r="C13" s="26"/>
      <c r="D13" s="26">
        <f>(SUM(D5:D12))</f>
        <v>5.03</v>
      </c>
      <c r="E13" s="26"/>
      <c r="F13" s="26"/>
      <c r="G13" s="26"/>
    </row>
  </sheetData>
  <conditionalFormatting sqref="C5">
    <cfRule type="cellIs" dxfId="85" priority="9" operator="lessThan">
      <formula>$J$3</formula>
    </cfRule>
    <cfRule type="cellIs" dxfId="84" priority="10" operator="greaterThan">
      <formula>$J$3</formula>
    </cfRule>
  </conditionalFormatting>
  <conditionalFormatting sqref="J3">
    <cfRule type="cellIs" dxfId="83" priority="7" operator="lessThan">
      <formula>$J$3</formula>
    </cfRule>
    <cfRule type="cellIs" dxfId="82" priority="8" operator="greaterThan">
      <formula>$J$3</formula>
    </cfRule>
  </conditionalFormatting>
  <conditionalFormatting sqref="O6:O9">
    <cfRule type="cellIs" dxfId="81" priority="5" operator="lessThan">
      <formula>$J$3</formula>
    </cfRule>
    <cfRule type="cellIs" dxfId="80" priority="6" operator="greaterThan">
      <formula>$J$3</formula>
    </cfRule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4.0282873088424388E-3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2.4145554129201576</v>
      </c>
      <c r="K4" s="4">
        <f>(J4/D10-1)</f>
        <v>-0.19514819569328079</v>
      </c>
    </row>
    <row r="5" spans="2:16">
      <c r="B5">
        <v>599.4</v>
      </c>
      <c r="C5" s="46">
        <f>(D5/B5)</f>
        <v>5.005005005005005E-3</v>
      </c>
      <c r="D5" s="26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6"/>
      <c r="D6" s="26"/>
      <c r="M6" t="s">
        <v>10</v>
      </c>
      <c r="N6">
        <f>($B$5/5)</f>
        <v>119.88</v>
      </c>
      <c r="O6" s="49">
        <f>($C$5*[1]Params!K8)</f>
        <v>6.5065065065065065E-3</v>
      </c>
      <c r="P6" s="26">
        <f>(O6*N6)</f>
        <v>0.77999999999999992</v>
      </c>
    </row>
    <row r="7" spans="2:16">
      <c r="C7" s="26"/>
      <c r="D7" s="26"/>
      <c r="N7">
        <f>($B$5/5)</f>
        <v>119.88</v>
      </c>
      <c r="O7" s="46">
        <f>($C$5*[1]Params!K9)</f>
        <v>8.0080080080080079E-3</v>
      </c>
      <c r="P7" s="26">
        <f>(O7*N7)</f>
        <v>0.96</v>
      </c>
    </row>
    <row r="8" spans="2:16">
      <c r="C8" s="26"/>
      <c r="D8" s="26"/>
      <c r="N8">
        <f>($B$5/5)</f>
        <v>119.88</v>
      </c>
      <c r="O8" s="46">
        <f>($C$5*[1]Params!K10)</f>
        <v>1.1011011011011013E-2</v>
      </c>
      <c r="P8" s="26">
        <f>(O8*N8)</f>
        <v>1.32</v>
      </c>
    </row>
    <row r="9" spans="2:16">
      <c r="C9" s="26"/>
      <c r="D9" s="26"/>
      <c r="F9" t="s">
        <v>12</v>
      </c>
      <c r="G9" s="26">
        <f>(D10/B10)</f>
        <v>5.005005005005005E-3</v>
      </c>
      <c r="N9">
        <f>($B$5/5)</f>
        <v>119.88</v>
      </c>
      <c r="O9" s="46">
        <f>($C$5*[1]Params!K11)</f>
        <v>2.5025025025025023E-2</v>
      </c>
      <c r="P9" s="26">
        <f>(O9*N9)</f>
        <v>2.9999999999999996</v>
      </c>
    </row>
    <row r="10" spans="2:16">
      <c r="B10">
        <f>(SUM(B5:B9))</f>
        <v>599.4</v>
      </c>
      <c r="C10" s="26"/>
      <c r="D10" s="26">
        <f>(SUM(D5:D9))</f>
        <v>3</v>
      </c>
      <c r="O10" s="26"/>
      <c r="P10" s="26"/>
    </row>
    <row r="11" spans="2:16">
      <c r="O11" s="26"/>
      <c r="P11" s="26">
        <f>(SUM(P6:P9))</f>
        <v>6.0599999999999987</v>
      </c>
    </row>
  </sheetData>
  <conditionalFormatting sqref="C5 G9 O6:O9">
    <cfRule type="cellIs" dxfId="75" priority="5" operator="lessThan">
      <formula>$J$3</formula>
    </cfRule>
    <cfRule type="cellIs" dxfId="7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tabSelected="1" workbookViewId="0">
      <selection activeCell="U35" sqref="U35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90.648660645491844</v>
      </c>
      <c r="M3" t="s">
        <v>4</v>
      </c>
      <c r="N3" s="24">
        <f>(INDEX(N5:N26,MATCH(MAX(O6:O9,O23:O25,O14:O17),O5:O26,0))/0.85)</f>
        <v>1.4470588235294117</v>
      </c>
      <c r="O3" s="27">
        <f>(MAX(O14:O17,O23:O25,O6:O9)*0.75)</f>
        <v>83.37837707926829</v>
      </c>
      <c r="P3" s="26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6">
        <f>(B46*J3)</f>
        <v>239.97551382303854</v>
      </c>
      <c r="K4" s="4">
        <f>(J4/D46-1)</f>
        <v>-3.5700342859311092</v>
      </c>
      <c r="O4" s="26"/>
      <c r="P4" s="26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88</v>
      </c>
      <c r="N5" t="s">
        <v>32</v>
      </c>
      <c r="O5" t="s">
        <v>1</v>
      </c>
      <c r="P5" t="s">
        <v>2</v>
      </c>
      <c r="R5" s="24">
        <f>(B5)</f>
        <v>0.29572140000000002</v>
      </c>
      <c r="S5" s="26">
        <f>(C5)</f>
        <v>196</v>
      </c>
      <c r="T5" s="26">
        <f>(R5*S5)</f>
        <v>57.961394400000003</v>
      </c>
    </row>
    <row r="6" spans="2:21">
      <c r="B6" s="24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4">
        <f>($B$16/5)</f>
        <v>9.8105999999999999E-2</v>
      </c>
      <c r="O6" s="26">
        <f>(C23)</f>
        <v>16.233513403322799</v>
      </c>
      <c r="P6" s="26">
        <f>(O6*N6)</f>
        <v>1.5926050659463866</v>
      </c>
      <c r="Q6" t="s">
        <v>11</v>
      </c>
      <c r="R6" s="24">
        <f>(B6+B7+B8+B9)</f>
        <v>1.406590000000001E-3</v>
      </c>
      <c r="S6" s="26">
        <v>0</v>
      </c>
      <c r="T6" s="26">
        <f>(D6+D7+D8+D9)</f>
        <v>-3.0785000000000007E-2</v>
      </c>
    </row>
    <row r="7" spans="2:21">
      <c r="B7" s="24">
        <v>-7.3249999999999999E-3</v>
      </c>
      <c r="C7" s="26">
        <f t="shared" si="0"/>
        <v>40.955631399317404</v>
      </c>
      <c r="D7" s="26">
        <v>-0.3</v>
      </c>
      <c r="E7" s="26"/>
      <c r="N7" s="24">
        <f>-B36</f>
        <v>0.10885</v>
      </c>
      <c r="O7" s="26">
        <f>P7/N7</f>
        <v>23.941203491042717</v>
      </c>
      <c r="P7" s="26">
        <f>-D36</f>
        <v>2.6059999999999999</v>
      </c>
      <c r="Q7" t="s">
        <v>11</v>
      </c>
      <c r="R7" s="24">
        <f>(B10+B11)</f>
        <v>1.6940399999999939E-3</v>
      </c>
      <c r="S7" s="26">
        <v>0</v>
      </c>
      <c r="T7" s="26">
        <f>(D10+D11)</f>
        <v>-0.22120000000000006</v>
      </c>
    </row>
    <row r="8" spans="2:21">
      <c r="B8" s="24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4">
        <f>(($B$16+$R$20+$R$9)/5)</f>
        <v>0.10885333400000001</v>
      </c>
      <c r="O8" s="26">
        <f>C38</f>
        <v>31.194569999999995</v>
      </c>
      <c r="P8" s="26">
        <f>-D38</f>
        <v>3.1194569999999997</v>
      </c>
      <c r="Q8" t="s">
        <v>11</v>
      </c>
      <c r="R8" s="24">
        <f>(B12)</f>
        <v>2.0999999999999999E-3</v>
      </c>
      <c r="S8" s="26">
        <v>0</v>
      </c>
      <c r="T8" s="26">
        <f>(R8*S8)</f>
        <v>0</v>
      </c>
    </row>
    <row r="9" spans="2:21">
      <c r="B9" s="24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4">
        <f>(($B$16+$R$20+$R$9)/5)</f>
        <v>0.10885333400000001</v>
      </c>
      <c r="O9" s="26">
        <f>($C$16*[1]Params!K11)</f>
        <v>64.216255886490117</v>
      </c>
      <c r="P9" s="26">
        <f>(O9*N9)</f>
        <v>6.9901535502415753</v>
      </c>
      <c r="Q9" t="s">
        <v>11</v>
      </c>
      <c r="R9" s="24">
        <f>(B13)</f>
        <v>1.4273000000000001E-2</v>
      </c>
      <c r="S9" s="26">
        <f>(T9/R9)</f>
        <v>0</v>
      </c>
      <c r="T9" s="26">
        <v>0</v>
      </c>
      <c r="U9" t="str">
        <f>E13</f>
        <v>NFT Burn</v>
      </c>
    </row>
    <row r="10" spans="2:21">
      <c r="B10" s="24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(B14)</f>
        <v>6.1610130000000485E-3</v>
      </c>
      <c r="S10" s="26">
        <f>(C14)</f>
        <v>0</v>
      </c>
      <c r="T10" s="26">
        <f>(D14)</f>
        <v>0</v>
      </c>
    </row>
    <row r="11" spans="2:21">
      <c r="B11" s="24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14.308215616187962</v>
      </c>
      <c r="R11" s="24">
        <f>(B15)</f>
        <v>5.2777800000000652E-4</v>
      </c>
      <c r="S11" s="26">
        <f>(C15)</f>
        <v>0</v>
      </c>
      <c r="T11" s="26">
        <f>(D15)</f>
        <v>0</v>
      </c>
    </row>
    <row r="12" spans="2:21">
      <c r="B12" s="24">
        <v>2.0999999999999999E-3</v>
      </c>
      <c r="C12" s="26">
        <v>0</v>
      </c>
      <c r="D12" s="26">
        <v>0</v>
      </c>
      <c r="E12" s="26">
        <f>(B12*$J$3)</f>
        <v>0.19036218735553287</v>
      </c>
      <c r="O12" s="26"/>
      <c r="P12" s="26"/>
      <c r="R12" s="24">
        <f>(B16+B23)</f>
        <v>0.39241999999999999</v>
      </c>
      <c r="S12" s="26">
        <f>(T12/R12)</f>
        <v>11.995642423933541</v>
      </c>
      <c r="T12" s="26">
        <f>(D16+D23)</f>
        <v>4.7073299999999998</v>
      </c>
    </row>
    <row r="13" spans="2:21">
      <c r="B13" s="24">
        <f>(0.002039*7)</f>
        <v>1.4273000000000001E-2</v>
      </c>
      <c r="C13" s="26">
        <v>0</v>
      </c>
      <c r="D13" s="26">
        <f>(C13*B13)</f>
        <v>0</v>
      </c>
      <c r="E13" t="s">
        <v>89</v>
      </c>
      <c r="F13" s="27"/>
      <c r="M13" t="s">
        <v>9</v>
      </c>
      <c r="N13" t="s">
        <v>32</v>
      </c>
      <c r="O13" t="s">
        <v>1</v>
      </c>
      <c r="P13" t="s">
        <v>2</v>
      </c>
      <c r="R13" s="24">
        <f>(B17+B21+B37-N16-N17)</f>
        <v>1.2297094999999998</v>
      </c>
      <c r="S13" s="26">
        <f>(T13/R13)</f>
        <v>25.116785725409141</v>
      </c>
      <c r="T13" s="26">
        <f>(D17+11.97*B21+B37*19.42078-N16*19.42078-N17*20.2879)</f>
        <v>30.886350016000005</v>
      </c>
      <c r="U13" t="s">
        <v>9</v>
      </c>
    </row>
    <row r="14" spans="2:21">
      <c r="B14" s="24">
        <f>(0.60148-0.595318987)</f>
        <v>6.1610130000000485E-3</v>
      </c>
      <c r="C14" s="26">
        <v>0</v>
      </c>
      <c r="D14" s="26">
        <v>0</v>
      </c>
      <c r="E14" s="26">
        <f>(B14*$J$3)</f>
        <v>0.55848757666946802</v>
      </c>
      <c r="I14" s="24"/>
      <c r="M14" t="s">
        <v>10</v>
      </c>
      <c r="N14" s="24">
        <f>(-B21)</f>
        <v>0.28089999999999998</v>
      </c>
      <c r="O14" s="26">
        <f>(C21)</f>
        <v>14.959772160911358</v>
      </c>
      <c r="P14" s="26">
        <f>(O14*N14)</f>
        <v>4.2022000000000004</v>
      </c>
      <c r="Q14" t="s">
        <v>11</v>
      </c>
      <c r="R14" s="25">
        <f>(B18)</f>
        <v>6.3440109999999994E-2</v>
      </c>
      <c r="S14" s="29">
        <f>(C18)</f>
        <v>0</v>
      </c>
      <c r="T14" s="30">
        <f>(D18)</f>
        <v>0</v>
      </c>
    </row>
    <row r="15" spans="2:21">
      <c r="B15" s="24">
        <f>(0.10209-0.101562222)</f>
        <v>5.2777800000000652E-4</v>
      </c>
      <c r="C15" s="26">
        <v>0</v>
      </c>
      <c r="D15" s="26">
        <v>0</v>
      </c>
      <c r="E15" s="26">
        <f>(B15*$J$3)</f>
        <v>4.7842368818156983E-2</v>
      </c>
      <c r="N15" s="24">
        <f>-B37</f>
        <v>2.08</v>
      </c>
      <c r="O15" s="26">
        <f>C37</f>
        <v>31.395271514423076</v>
      </c>
      <c r="P15" s="26">
        <f>(O15*N15)</f>
        <v>65.302164750000003</v>
      </c>
      <c r="Q15" t="s">
        <v>11</v>
      </c>
      <c r="R15" s="24">
        <f>B19+B22+B39-N25</f>
        <v>0.77203299000000014</v>
      </c>
      <c r="S15" s="26">
        <f>(T15/R15)</f>
        <v>23.979413625834816</v>
      </c>
      <c r="T15" s="26">
        <f>(D19+12.6*B22+20.2393*B39-20.2393*N25)</f>
        <v>18.512898399999997</v>
      </c>
      <c r="U15" t="s">
        <v>15</v>
      </c>
    </row>
    <row r="16" spans="2:21">
      <c r="B16" s="24">
        <v>0.49053000000000002</v>
      </c>
      <c r="C16" s="26">
        <f>(D16/B16)</f>
        <v>12.843251177298024</v>
      </c>
      <c r="D16" s="26">
        <v>6.3</v>
      </c>
      <c r="E16" s="26"/>
      <c r="N16" s="24">
        <f>-B40-N25</f>
        <v>1.2328000000000001</v>
      </c>
      <c r="O16" s="26">
        <f>C40</f>
        <v>46.861096439187513</v>
      </c>
      <c r="P16" s="26">
        <f>(O16*N16)</f>
        <v>57.770359690230372</v>
      </c>
      <c r="Q16" t="s">
        <v>11</v>
      </c>
      <c r="R16" s="24">
        <f>(B20)</f>
        <v>4.1474400000000002E-2</v>
      </c>
      <c r="S16" s="26">
        <f>(T16/R16)</f>
        <v>12.055629496749802</v>
      </c>
      <c r="T16" s="26">
        <f>(D20)</f>
        <v>0.5</v>
      </c>
    </row>
    <row r="17" spans="2:22">
      <c r="B17" s="24">
        <v>6.0534094999999999</v>
      </c>
      <c r="C17" s="26">
        <f>(D17/B17)</f>
        <v>20.408333518490696</v>
      </c>
      <c r="D17" s="26">
        <v>123.54</v>
      </c>
      <c r="E17" t="s">
        <v>9</v>
      </c>
      <c r="N17" s="24">
        <f>-B42</f>
        <v>1.23</v>
      </c>
      <c r="O17" s="26">
        <f>P17/N17</f>
        <v>111.1711694390244</v>
      </c>
      <c r="P17" s="26">
        <f>-D42</f>
        <v>136.74053841</v>
      </c>
      <c r="Q17" t="s">
        <v>11</v>
      </c>
      <c r="R17" s="24">
        <f>(B21-B21)</f>
        <v>0</v>
      </c>
      <c r="S17" s="26">
        <v>0</v>
      </c>
      <c r="T17" s="26">
        <f>(14.952/1.25*-B21+D21)</f>
        <v>-0.84218656000000047</v>
      </c>
      <c r="U17" t="s">
        <v>17</v>
      </c>
    </row>
    <row r="18" spans="2:22">
      <c r="B18" s="25">
        <v>6.3440109999999994E-2</v>
      </c>
      <c r="C18" s="29">
        <v>0</v>
      </c>
      <c r="D18" s="30">
        <v>0</v>
      </c>
      <c r="E18" s="27">
        <f>B18*J3</f>
        <v>5.7507610027026734</v>
      </c>
      <c r="N18" s="24"/>
      <c r="O18" s="26"/>
      <c r="P18" s="26"/>
      <c r="R18" s="24">
        <f>(B22-B22)</f>
        <v>0</v>
      </c>
      <c r="S18" s="26">
        <v>0</v>
      </c>
      <c r="T18" s="26">
        <f>(12.6*-B22+D22)</f>
        <v>-0.26295951999999989</v>
      </c>
      <c r="U18" t="s">
        <v>16</v>
      </c>
    </row>
    <row r="19" spans="2:22">
      <c r="B19" s="24">
        <v>1.87547299</v>
      </c>
      <c r="C19" s="26">
        <f t="shared" ref="C19:C32" si="1">(D19/B19)</f>
        <v>21.487912763808982</v>
      </c>
      <c r="D19" s="26">
        <v>40.299999999999997</v>
      </c>
      <c r="E19" t="s">
        <v>15</v>
      </c>
      <c r="O19" s="26"/>
      <c r="P19" s="26">
        <f>(SUM(P14:P17))</f>
        <v>264.01526285023039</v>
      </c>
      <c r="R19" s="24">
        <f>(B26+B27)+B43+B44</f>
        <v>5.9467390000000009E-2</v>
      </c>
      <c r="S19" s="26">
        <v>0</v>
      </c>
      <c r="T19" s="26">
        <f>(D26+D27)+D43+D44</f>
        <v>-2.6994419700000023</v>
      </c>
      <c r="U19" t="s">
        <v>86</v>
      </c>
      <c r="V19" s="27">
        <f>-T19+R19*$J$3</f>
        <v>8.090081225583118</v>
      </c>
    </row>
    <row r="20" spans="2:22">
      <c r="B20" s="24">
        <v>4.1474400000000002E-2</v>
      </c>
      <c r="C20" s="26">
        <f t="shared" si="1"/>
        <v>12.055629496749802</v>
      </c>
      <c r="D20" s="26">
        <v>0.5</v>
      </c>
      <c r="E20" s="26"/>
      <c r="N20" s="24"/>
      <c r="O20" s="26"/>
      <c r="P20" s="26"/>
      <c r="R20" s="24">
        <f>(B28+B25+B33+B34+B29+B35)</f>
        <v>3.9463670000000006E-2</v>
      </c>
      <c r="S20" s="26">
        <v>0</v>
      </c>
      <c r="T20" s="26">
        <f>(D28+D25+D33+D34+D29+D35)</f>
        <v>-0.41275400000000007</v>
      </c>
      <c r="U20" t="s">
        <v>90</v>
      </c>
      <c r="V20" s="27">
        <f>-T20+R20*$J$3</f>
        <v>3.9900828296556776</v>
      </c>
    </row>
    <row r="21" spans="2:22">
      <c r="B21" s="24">
        <v>-0.28089999999999998</v>
      </c>
      <c r="C21" s="26">
        <f t="shared" si="1"/>
        <v>14.959772160911358</v>
      </c>
      <c r="D21" s="26">
        <v>-4.2022000000000004</v>
      </c>
      <c r="E21" s="26"/>
      <c r="O21" s="26"/>
      <c r="P21" s="26"/>
      <c r="R21" s="24">
        <f>B31+B24+B30+B32</f>
        <v>4.5072619999999994E-2</v>
      </c>
      <c r="S21" s="26">
        <v>0</v>
      </c>
      <c r="T21" s="26">
        <f>D31+D24+D30+D32</f>
        <v>-0.45515192000000004</v>
      </c>
      <c r="U21" t="s">
        <v>91</v>
      </c>
      <c r="V21" s="27">
        <f>-T21+R21*$J$3</f>
        <v>4.5409245547832082</v>
      </c>
    </row>
    <row r="22" spans="2:22">
      <c r="B22" s="24">
        <v>-7.1440000000000003E-2</v>
      </c>
      <c r="C22" s="26">
        <f t="shared" si="1"/>
        <v>16.280844344904814</v>
      </c>
      <c r="D22" s="26">
        <v>-1.1631035199999999</v>
      </c>
      <c r="E22" s="26"/>
      <c r="M22" t="s">
        <v>15</v>
      </c>
      <c r="N22" t="s">
        <v>32</v>
      </c>
      <c r="O22" t="s">
        <v>1</v>
      </c>
      <c r="P22" t="s">
        <v>2</v>
      </c>
      <c r="R22" s="24">
        <f>B36</f>
        <v>-0.10885</v>
      </c>
      <c r="S22" s="27">
        <f>T22/R22</f>
        <v>23.941203491042717</v>
      </c>
      <c r="T22" s="27">
        <f>D36</f>
        <v>-2.6059999999999999</v>
      </c>
      <c r="U22" t="s">
        <v>92</v>
      </c>
    </row>
    <row r="23" spans="2:22">
      <c r="B23" s="24">
        <v>-9.8110000000000003E-2</v>
      </c>
      <c r="C23" s="26">
        <f t="shared" si="1"/>
        <v>16.233513403322799</v>
      </c>
      <c r="D23" s="26">
        <v>-1.59267</v>
      </c>
      <c r="E23" s="26"/>
      <c r="M23" t="s">
        <v>10</v>
      </c>
      <c r="N23" s="24">
        <f>(-B22)</f>
        <v>7.1440000000000003E-2</v>
      </c>
      <c r="O23" s="26">
        <f>(C22)</f>
        <v>16.280844344904814</v>
      </c>
      <c r="P23" s="26">
        <f>(O23*N23)</f>
        <v>1.1631035199999999</v>
      </c>
      <c r="Q23" t="s">
        <v>11</v>
      </c>
      <c r="R23" s="24">
        <f>B37-B37</f>
        <v>0</v>
      </c>
      <c r="S23" s="27">
        <v>0</v>
      </c>
      <c r="T23" s="26">
        <f>D37-B37*19.42078</f>
        <v>-24.906942350000001</v>
      </c>
      <c r="U23" t="s">
        <v>93</v>
      </c>
    </row>
    <row r="24" spans="2:22">
      <c r="B24" s="24">
        <v>-0.31</v>
      </c>
      <c r="C24" s="26">
        <f t="shared" si="1"/>
        <v>18.399999999999999</v>
      </c>
      <c r="D24" s="26">
        <v>-5.7039999999999997</v>
      </c>
      <c r="E24" s="26"/>
      <c r="N24" s="24">
        <f>-B39</f>
        <v>0.65</v>
      </c>
      <c r="O24" s="26">
        <f>($S$15*[1]Params!K9)</f>
        <v>38.367061801335709</v>
      </c>
      <c r="P24" s="26">
        <f>(O24*N24)</f>
        <v>24.93859017086821</v>
      </c>
      <c r="Q24" t="s">
        <v>11</v>
      </c>
      <c r="R24" s="24">
        <f>B38</f>
        <v>-0.1</v>
      </c>
      <c r="S24" s="26">
        <f>T24/R24</f>
        <v>31.194569999999995</v>
      </c>
      <c r="T24" s="26">
        <f>D38</f>
        <v>-3.1194569999999997</v>
      </c>
      <c r="U24" t="s">
        <v>94</v>
      </c>
    </row>
    <row r="25" spans="2:22">
      <c r="B25" s="24">
        <v>-9.8095000000000002E-2</v>
      </c>
      <c r="C25" s="26">
        <f t="shared" si="1"/>
        <v>22.019470921045926</v>
      </c>
      <c r="D25" s="26">
        <v>-2.16</v>
      </c>
      <c r="E25" s="26"/>
      <c r="N25" s="24">
        <f>0.382</f>
        <v>0.38200000000000001</v>
      </c>
      <c r="O25" s="26">
        <f>C40</f>
        <v>46.861096439187513</v>
      </c>
      <c r="P25" s="26">
        <f>(O25*N25)</f>
        <v>17.90093883976963</v>
      </c>
      <c r="Q25" t="s">
        <v>11</v>
      </c>
      <c r="R25" s="24">
        <f>B39-B39</f>
        <v>0</v>
      </c>
      <c r="S25" s="26">
        <v>0</v>
      </c>
      <c r="T25" s="26">
        <f>D39-B39*20.2393</f>
        <v>-8.2515799200000011</v>
      </c>
      <c r="U25" t="s">
        <v>95</v>
      </c>
    </row>
    <row r="26" spans="2:22">
      <c r="B26" s="24">
        <f>(-0.05715)</f>
        <v>-5.7149999999999999E-2</v>
      </c>
      <c r="C26" s="26">
        <f t="shared" si="1"/>
        <v>22.045157130358703</v>
      </c>
      <c r="D26" s="26">
        <v>-1.2598807299999999</v>
      </c>
      <c r="E26" s="26"/>
      <c r="N26" s="24">
        <f>4*($B$19+R19)/5-$N$25-N24-N23</f>
        <v>0.44451230400000014</v>
      </c>
      <c r="O26" s="26">
        <f>($S$15*[1]Params!K11)</f>
        <v>119.89706812917407</v>
      </c>
      <c r="P26" s="26">
        <f>O26*N26</f>
        <v>53.295721996944152</v>
      </c>
      <c r="R26" s="24">
        <f>N16-N16</f>
        <v>0</v>
      </c>
      <c r="S26" s="26">
        <v>0</v>
      </c>
      <c r="T26" s="26">
        <f>-57.77+(N16)*19.42078</f>
        <v>-33.828062416000002</v>
      </c>
      <c r="U26" t="s">
        <v>96</v>
      </c>
    </row>
    <row r="27" spans="2:22">
      <c r="B27" s="24">
        <v>6.3534430000000003E-2</v>
      </c>
      <c r="C27" s="26">
        <f t="shared" si="1"/>
        <v>18.730001984750629</v>
      </c>
      <c r="D27" s="26">
        <v>1.19</v>
      </c>
      <c r="E27" s="26"/>
      <c r="O27" s="26"/>
      <c r="P27" s="26"/>
      <c r="R27" s="24">
        <f>N25-N25</f>
        <v>0</v>
      </c>
      <c r="S27" s="27">
        <v>0</v>
      </c>
      <c r="T27" s="27">
        <f>-P25+N25*20.2393</f>
        <v>-10.169526239769629</v>
      </c>
      <c r="U27" t="s">
        <v>97</v>
      </c>
    </row>
    <row r="28" spans="2:22">
      <c r="B28" s="24">
        <f>(0.02767109+0.08304053-0.00094104)</f>
        <v>0.10977057999999999</v>
      </c>
      <c r="C28" s="26">
        <f t="shared" si="1"/>
        <v>18.584214458919686</v>
      </c>
      <c r="D28" s="26">
        <v>2.04</v>
      </c>
      <c r="E28" s="26"/>
      <c r="O28" s="26"/>
      <c r="P28" s="26">
        <f>(SUM(P23:P26))</f>
        <v>97.298354527581992</v>
      </c>
      <c r="R28" s="24">
        <f>B41</f>
        <v>-0.10879999999999999</v>
      </c>
      <c r="S28" s="26">
        <f>C41</f>
        <v>58.381847426470586</v>
      </c>
      <c r="T28" s="26">
        <f>D41</f>
        <v>-6.3519449999999997</v>
      </c>
      <c r="U28" t="s">
        <v>98</v>
      </c>
    </row>
    <row r="29" spans="2:22">
      <c r="B29" s="24">
        <v>-0.10199999999999999</v>
      </c>
      <c r="C29" s="26">
        <f t="shared" si="1"/>
        <v>22.114333333333335</v>
      </c>
      <c r="D29" s="26">
        <f>(-2.275+0.019338)</f>
        <v>-2.2556620000000001</v>
      </c>
      <c r="E29" s="26"/>
      <c r="R29" s="24">
        <f>B42-B42</f>
        <v>0</v>
      </c>
      <c r="S29" s="26">
        <v>0</v>
      </c>
      <c r="T29" s="26">
        <f>-P17+N17*20.2879</f>
        <v>-111.78642141</v>
      </c>
      <c r="U29" t="s">
        <v>99</v>
      </c>
    </row>
    <row r="30" spans="2:22">
      <c r="B30" s="24">
        <v>0.11322</v>
      </c>
      <c r="C30" s="26">
        <f t="shared" si="1"/>
        <v>18.812930577636457</v>
      </c>
      <c r="D30" s="26">
        <v>2.13</v>
      </c>
      <c r="E30" s="26"/>
      <c r="N30" s="24"/>
      <c r="P30" s="24"/>
      <c r="R30" s="24"/>
      <c r="S30" s="26"/>
      <c r="T30" s="26"/>
    </row>
    <row r="31" spans="2:22">
      <c r="B31" s="24">
        <v>0.34735262</v>
      </c>
      <c r="C31" s="26">
        <f t="shared" si="1"/>
        <v>15.48858333067993</v>
      </c>
      <c r="D31" s="26">
        <v>5.38</v>
      </c>
      <c r="E31" s="26"/>
      <c r="S31" s="26"/>
      <c r="T31" s="26"/>
    </row>
    <row r="32" spans="2:22">
      <c r="B32" s="24">
        <v>-0.1055</v>
      </c>
      <c r="C32" s="26">
        <f t="shared" si="1"/>
        <v>21.432719620853081</v>
      </c>
      <c r="D32" s="26">
        <v>-2.2611519200000001</v>
      </c>
      <c r="E32" s="26"/>
      <c r="S32" s="26"/>
      <c r="T32" s="26"/>
    </row>
    <row r="33" spans="2:23">
      <c r="B33" s="24">
        <v>-0.1</v>
      </c>
      <c r="C33" s="26">
        <f t="shared" ref="C33:C44" si="2">D33/B33</f>
        <v>28.47092</v>
      </c>
      <c r="D33" s="26">
        <f>-2.8715+0.024408</f>
        <v>-2.847092</v>
      </c>
      <c r="E33" s="26"/>
      <c r="S33" s="26"/>
      <c r="T33" s="26"/>
      <c r="U33" s="27"/>
    </row>
    <row r="34" spans="2:23">
      <c r="B34" s="24">
        <f>0.11560694-0.00098265-0.0000162</f>
        <v>0.11460809000000001</v>
      </c>
      <c r="C34" s="26">
        <f t="shared" si="2"/>
        <v>23.38403859622824</v>
      </c>
      <c r="D34" s="26">
        <v>2.68</v>
      </c>
      <c r="E34" s="26"/>
      <c r="S34" s="26"/>
      <c r="T34" s="26"/>
    </row>
    <row r="35" spans="2:23">
      <c r="B35" s="24">
        <v>0.11518</v>
      </c>
      <c r="C35" s="26">
        <f t="shared" si="2"/>
        <v>18.492793887827744</v>
      </c>
      <c r="D35" s="26">
        <v>2.13</v>
      </c>
      <c r="E35" s="26"/>
      <c r="F35" s="24"/>
      <c r="H35" s="27"/>
      <c r="J35" s="27"/>
      <c r="S35" s="26"/>
      <c r="T35" s="26"/>
    </row>
    <row r="36" spans="2:23">
      <c r="B36" s="24">
        <v>-0.10885</v>
      </c>
      <c r="C36" s="26">
        <f t="shared" si="2"/>
        <v>23.941203491042717</v>
      </c>
      <c r="D36" s="26">
        <v>-2.6059999999999999</v>
      </c>
      <c r="E36" s="26"/>
      <c r="S36" s="26"/>
      <c r="T36" s="26"/>
    </row>
    <row r="37" spans="2:23">
      <c r="B37" s="24">
        <v>-2.08</v>
      </c>
      <c r="C37" s="26">
        <f t="shared" si="2"/>
        <v>31.395271514423076</v>
      </c>
      <c r="D37" s="26">
        <v>-65.302164750000003</v>
      </c>
      <c r="E37" s="26"/>
      <c r="S37" s="26"/>
      <c r="T37" s="26"/>
    </row>
    <row r="38" spans="2:23">
      <c r="B38" s="24">
        <v>-0.1</v>
      </c>
      <c r="C38" s="26">
        <f t="shared" si="2"/>
        <v>31.194569999999995</v>
      </c>
      <c r="D38" s="26">
        <f>-3.1462+0.026743</f>
        <v>-3.1194569999999997</v>
      </c>
      <c r="E38" s="26"/>
      <c r="N38" s="24"/>
      <c r="P38" s="27"/>
      <c r="S38" s="26"/>
      <c r="T38" s="26"/>
    </row>
    <row r="39" spans="2:23">
      <c r="B39" s="24">
        <v>-0.65</v>
      </c>
      <c r="C39" s="26">
        <f t="shared" si="2"/>
        <v>32.934038338461541</v>
      </c>
      <c r="D39" s="26">
        <f>-21.40712492</f>
        <v>-21.407124920000001</v>
      </c>
      <c r="E39" s="26"/>
      <c r="N39" s="24">
        <f>N16+N25</f>
        <v>1.6148000000000002</v>
      </c>
      <c r="S39" s="26"/>
      <c r="T39" s="26"/>
    </row>
    <row r="40" spans="2:23">
      <c r="B40" s="24">
        <v>-1.6148</v>
      </c>
      <c r="C40" s="26">
        <f t="shared" si="2"/>
        <v>46.861096439187513</v>
      </c>
      <c r="D40" s="26">
        <v>-75.671298530000001</v>
      </c>
      <c r="E40" s="26"/>
      <c r="S40" s="26"/>
      <c r="T40" s="26"/>
    </row>
    <row r="41" spans="2:23">
      <c r="B41" s="24">
        <v>-0.10879999999999999</v>
      </c>
      <c r="C41" s="26">
        <f t="shared" si="2"/>
        <v>58.381847426470586</v>
      </c>
      <c r="D41" s="26">
        <f>-6.4064+0.054455</f>
        <v>-6.3519449999999997</v>
      </c>
      <c r="E41" s="26"/>
      <c r="S41" s="26"/>
      <c r="T41" s="26"/>
    </row>
    <row r="42" spans="2:23">
      <c r="B42" s="24">
        <v>-1.23</v>
      </c>
      <c r="C42" s="26">
        <f t="shared" si="2"/>
        <v>111.1711694390244</v>
      </c>
      <c r="D42" s="26">
        <v>-136.74053841</v>
      </c>
      <c r="E42" s="26"/>
      <c r="S42" s="26"/>
      <c r="T42" s="26"/>
    </row>
    <row r="43" spans="2:23">
      <c r="B43" s="24">
        <v>-0.375</v>
      </c>
      <c r="C43" s="26">
        <f t="shared" si="2"/>
        <v>123.01216330666666</v>
      </c>
      <c r="D43" s="26">
        <v>-46.129561240000001</v>
      </c>
      <c r="E43" s="26"/>
      <c r="S43" s="26"/>
      <c r="T43" s="26"/>
    </row>
    <row r="44" spans="2:23">
      <c r="B44" s="24">
        <v>0.42808296000000001</v>
      </c>
      <c r="C44" s="26">
        <f t="shared" si="2"/>
        <v>101.61581764431828</v>
      </c>
      <c r="D44" s="26">
        <v>43.5</v>
      </c>
      <c r="E44" s="26"/>
      <c r="S44" s="26"/>
      <c r="T44" s="26"/>
    </row>
    <row r="45" spans="2:23">
      <c r="C45" s="26"/>
      <c r="D45" s="26"/>
      <c r="E45" s="26"/>
      <c r="S45" s="26"/>
      <c r="T45" s="26"/>
    </row>
    <row r="46" spans="2:23">
      <c r="B46" s="24">
        <f>(SUM(B5:B45))</f>
        <v>2.6473145009999994</v>
      </c>
      <c r="C46" s="26"/>
      <c r="D46" s="26">
        <f>(SUM(D5:D45))</f>
        <v>-93.37444062000003</v>
      </c>
      <c r="E46" s="26"/>
      <c r="F46" t="s">
        <v>12</v>
      </c>
      <c r="G46" s="26">
        <f>(D46/B46)</f>
        <v>-35.271381841760267</v>
      </c>
      <c r="R46" s="24">
        <f>(SUM(R5:R36))</f>
        <v>2.6473145009999999</v>
      </c>
      <c r="S46" s="26"/>
      <c r="T46" s="26">
        <f>(SUM(T5:T36))</f>
        <v>-93.376440489769621</v>
      </c>
      <c r="V46" t="s">
        <v>12</v>
      </c>
      <c r="W46" s="26">
        <f>(T46/R46)</f>
        <v>-35.272137275150911</v>
      </c>
    </row>
    <row r="47" spans="2:23">
      <c r="M47" s="24"/>
      <c r="S47" s="26"/>
      <c r="T47" s="26"/>
    </row>
    <row r="50" spans="14:14">
      <c r="N50" s="24"/>
    </row>
  </sheetData>
  <conditionalFormatting sqref="C5 C8:C10 S5">
    <cfRule type="cellIs" dxfId="73" priority="109" operator="lessThan">
      <formula>$J$3</formula>
    </cfRule>
    <cfRule type="cellIs" dxfId="72" priority="110" operator="greaterThan">
      <formula>$J$3</formula>
    </cfRule>
  </conditionalFormatting>
  <conditionalFormatting sqref="C16:C17">
    <cfRule type="cellIs" dxfId="71" priority="93" operator="lessThan">
      <formula>$J$3</formula>
    </cfRule>
    <cfRule type="cellIs" dxfId="70" priority="94" operator="greaterThan">
      <formula>$J$3</formula>
    </cfRule>
    <cfRule type="cellIs" dxfId="69" priority="95" operator="lessThan">
      <formula>$J$3</formula>
    </cfRule>
    <cfRule type="cellIs" dxfId="68" priority="96" operator="greaterThan">
      <formula>$J$3</formula>
    </cfRule>
    <cfRule type="cellIs" dxfId="67" priority="103" operator="lessThan">
      <formula>$J$3</formula>
    </cfRule>
    <cfRule type="cellIs" dxfId="66" priority="104" operator="greaterThan">
      <formula>$J$3</formula>
    </cfRule>
  </conditionalFormatting>
  <conditionalFormatting sqref="C19:C20 G46 W46">
    <cfRule type="cellIs" dxfId="65" priority="87" operator="lessThan">
      <formula>$J$3</formula>
    </cfRule>
    <cfRule type="cellIs" dxfId="64" priority="88" operator="greaterThan">
      <formula>$J$3</formula>
    </cfRule>
    <cfRule type="cellIs" dxfId="63" priority="89" operator="lessThan">
      <formula>$J$3</formula>
    </cfRule>
    <cfRule type="cellIs" dxfId="62" priority="90" operator="greaterThan">
      <formula>$J$3</formula>
    </cfRule>
    <cfRule type="cellIs" dxfId="61" priority="91" operator="lessThan">
      <formula>$J$3</formula>
    </cfRule>
    <cfRule type="cellIs" dxfId="60" priority="92" operator="greaterThan">
      <formula>$J$3</formula>
    </cfRule>
    <cfRule type="cellIs" dxfId="59" priority="101" operator="lessThan">
      <formula>$J$3</formula>
    </cfRule>
    <cfRule type="cellIs" dxfId="58" priority="102" operator="greaterThan">
      <formula>$J$3</formula>
    </cfRule>
  </conditionalFormatting>
  <conditionalFormatting sqref="C27:C28 C30:C31 C34:C35">
    <cfRule type="cellIs" dxfId="57" priority="79" operator="lessThan">
      <formula>$J$3</formula>
    </cfRule>
    <cfRule type="cellIs" dxfId="56" priority="80" operator="greaterThan">
      <formula>$J$3</formula>
    </cfRule>
    <cfRule type="cellIs" dxfId="55" priority="81" operator="lessThan">
      <formula>$J$3</formula>
    </cfRule>
    <cfRule type="cellIs" dxfId="54" priority="82" operator="greaterThan">
      <formula>$J$3</formula>
    </cfRule>
    <cfRule type="cellIs" dxfId="53" priority="83" operator="lessThan">
      <formula>$J$3</formula>
    </cfRule>
    <cfRule type="cellIs" dxfId="52" priority="84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  <cfRule type="cellIs" dxfId="49" priority="99" operator="lessThan">
      <formula>$J$3</formula>
    </cfRule>
    <cfRule type="cellIs" dxfId="48" priority="100" operator="greaterThan">
      <formula>$J$3</formula>
    </cfRule>
  </conditionalFormatting>
  <conditionalFormatting sqref="S12:S13 S15:S16">
    <cfRule type="cellIs" dxfId="47" priority="73" operator="lessThan">
      <formula>$J$3</formula>
    </cfRule>
    <cfRule type="cellIs" dxfId="46" priority="74" operator="greaterThan">
      <formula>$J$3</formula>
    </cfRule>
    <cfRule type="cellIs" dxfId="45" priority="75" operator="lessThan">
      <formula>$J$3</formula>
    </cfRule>
    <cfRule type="cellIs" dxfId="44" priority="76" operator="greaterThan">
      <formula>$J$3</formula>
    </cfRule>
  </conditionalFormatting>
  <conditionalFormatting sqref="O3">
    <cfRule type="cellIs" dxfId="43" priority="55" operator="greaterThan">
      <formula>$J$3</formula>
    </cfRule>
    <cfRule type="cellIs" dxfId="42" priority="56" operator="lessThan">
      <formula>$J$3</formula>
    </cfRule>
  </conditionalFormatting>
  <conditionalFormatting sqref="C44"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  <cfRule type="cellIs" dxfId="35" priority="11" operator="lessThan">
      <formula>$J$3</formula>
    </cfRule>
    <cfRule type="cellIs" dxfId="34" priority="12" operator="greaterThan">
      <formula>$J$3</formula>
    </cfRule>
    <cfRule type="cellIs" dxfId="33" priority="13" operator="lessThan">
      <formula>$J$3</formula>
    </cfRule>
    <cfRule type="cellIs" dxfId="32" priority="14" operator="greaterThan">
      <formula>$J$3</formula>
    </cfRule>
  </conditionalFormatting>
  <conditionalFormatting sqref="O26">
    <cfRule type="cellIs" dxfId="31" priority="1" operator="lessThan">
      <formula>$J$3</formula>
    </cfRule>
    <cfRule type="cellIs" dxfId="30" priority="2" operator="greaterThan">
      <formula>$J$3</formula>
    </cfRule>
    <cfRule type="cellIs" dxfId="29" priority="3" operator="lessThan">
      <formula>$J$3</formula>
    </cfRule>
    <cfRule type="cellIs" dxfId="28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6">
        <v>0.1033885623699792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0.96698416080503813</v>
      </c>
      <c r="K4" s="4">
        <f>(J4/D13-1)</f>
        <v>0.93396832161007626</v>
      </c>
    </row>
    <row r="5" spans="2:17">
      <c r="B5" s="19">
        <v>9.10125837</v>
      </c>
      <c r="C5" s="46">
        <f>(D5/B5)</f>
        <v>5.4937458060538499E-2</v>
      </c>
      <c r="D5" s="26">
        <v>0.5</v>
      </c>
      <c r="E5" s="26"/>
      <c r="G5" s="26"/>
      <c r="N5" t="s">
        <v>32</v>
      </c>
      <c r="O5" t="s">
        <v>1</v>
      </c>
      <c r="P5" t="s">
        <v>2</v>
      </c>
    </row>
    <row r="6" spans="2:17">
      <c r="B6" s="20">
        <v>0.25165397</v>
      </c>
      <c r="C6" s="29">
        <v>0</v>
      </c>
      <c r="D6" s="30">
        <f>(B6*C6)</f>
        <v>0</v>
      </c>
      <c r="E6" s="26">
        <f>(B6*J3)</f>
        <v>2.6018142172997877E-2</v>
      </c>
      <c r="G6" s="26"/>
      <c r="M6" t="s">
        <v>10</v>
      </c>
      <c r="N6" s="19">
        <f>($B$13/5)</f>
        <v>1.8705824679999998</v>
      </c>
      <c r="O6" s="46">
        <f>($C$5*[1]Params!K8)</f>
        <v>7.1418695478700056E-2</v>
      </c>
      <c r="P6" s="26">
        <f>(O6*N6)</f>
        <v>0.13359455964988717</v>
      </c>
      <c r="Q6" s="26">
        <f>N6*$J$3</f>
        <v>0.19339683216100761</v>
      </c>
    </row>
    <row r="7" spans="2:17">
      <c r="C7" s="26"/>
      <c r="D7" s="26"/>
      <c r="E7" s="26"/>
      <c r="G7" s="26"/>
      <c r="N7" s="19">
        <f>($B$13/5)</f>
        <v>1.8705824679999998</v>
      </c>
      <c r="O7" s="46">
        <f>($C$5*[1]Params!K9)</f>
        <v>8.7899932896861599E-2</v>
      </c>
      <c r="P7" s="26">
        <f>(O7*N7)</f>
        <v>0.16442407341524573</v>
      </c>
      <c r="Q7" s="26">
        <f>Q6*2</f>
        <v>0.38679366432201523</v>
      </c>
    </row>
    <row r="8" spans="2:17">
      <c r="C8" s="26"/>
      <c r="D8" s="26"/>
      <c r="E8" s="26"/>
      <c r="G8" s="26"/>
      <c r="N8" s="19">
        <f>($B$13/5)</f>
        <v>1.8705824679999998</v>
      </c>
      <c r="O8" s="46">
        <f>($C$5*[1]Params!K10)</f>
        <v>0.12086240773318471</v>
      </c>
      <c r="P8" s="26">
        <f>(O8*N8)</f>
        <v>0.22608310094596293</v>
      </c>
      <c r="Q8" s="26">
        <f>Q6*3</f>
        <v>0.5801904964830229</v>
      </c>
    </row>
    <row r="9" spans="2:17">
      <c r="C9" s="26"/>
      <c r="D9" s="26"/>
      <c r="E9" s="26"/>
      <c r="G9" s="26"/>
      <c r="N9" s="19">
        <f>($B$13/5)</f>
        <v>1.8705824679999998</v>
      </c>
      <c r="O9" s="46">
        <f>($C$5*[1]Params!K11)</f>
        <v>0.27468729030269251</v>
      </c>
      <c r="P9" s="26">
        <f>(O9*N9)</f>
        <v>0.51382522942264297</v>
      </c>
      <c r="Q9" s="26">
        <f>Q6*4</f>
        <v>0.77358732864403046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1.0379269634337387</v>
      </c>
    </row>
    <row r="12" spans="2:17">
      <c r="C12" s="26"/>
      <c r="D12" s="26"/>
      <c r="E12" s="26"/>
      <c r="F12" t="s">
        <v>12</v>
      </c>
      <c r="G12" s="26">
        <f>(D13/B13)</f>
        <v>5.3459284319562012E-2</v>
      </c>
    </row>
    <row r="13" spans="2:17">
      <c r="B13">
        <f>(SUM(B5:B12))</f>
        <v>9.3529123399999996</v>
      </c>
      <c r="C13" s="26"/>
      <c r="D13" s="26">
        <f>(SUM(D5:D12))</f>
        <v>0.5</v>
      </c>
      <c r="E13" s="26"/>
      <c r="G13" s="26"/>
    </row>
  </sheetData>
  <conditionalFormatting sqref="C5">
    <cfRule type="cellIs" dxfId="27" priority="7" operator="lessThan">
      <formula>$J$3</formula>
    </cfRule>
    <cfRule type="cellIs" dxfId="26" priority="8" operator="greaterThan">
      <formula>$J$3</formula>
    </cfRule>
  </conditionalFormatting>
  <conditionalFormatting sqref="O6:O9">
    <cfRule type="cellIs" dxfId="25" priority="5" operator="lessThan">
      <formula>$J$3</formula>
    </cfRule>
    <cfRule type="cellIs" dxfId="24" priority="6" operator="greaterThan">
      <formula>$J$3</formula>
    </cfRule>
    <cfRule type="cellIs" dxfId="23" priority="1" operator="lessThan">
      <formula>$J$3</formula>
    </cfRule>
    <cfRule type="cellIs" dxfId="22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6"/>
      <c r="D3" s="26"/>
      <c r="E3" s="26"/>
      <c r="G3" s="26"/>
      <c r="H3" s="26"/>
      <c r="I3" t="s">
        <v>3</v>
      </c>
      <c r="J3" s="26">
        <v>5.9540656822693521</v>
      </c>
      <c r="M3" t="s">
        <v>4</v>
      </c>
      <c r="N3" s="19">
        <f>(INDEX(N5:N14,MATCH(MAX(O6),O5:O14,0))/0.85)</f>
        <v>0.48117647058823526</v>
      </c>
      <c r="O3" s="53">
        <f>(MAX(O6)*0.75)</f>
        <v>5.677519621026895</v>
      </c>
      <c r="P3" s="26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(B10*J3)</f>
        <v>10.398825668694498</v>
      </c>
      <c r="K4" s="4">
        <f>(J4/D10-1)</f>
        <v>0.16790094253786081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6">
        <f>(D5/B5)</f>
        <v>5.5739207211501469</v>
      </c>
      <c r="D5" s="26">
        <v>12</v>
      </c>
      <c r="E5" t="s">
        <v>84</v>
      </c>
      <c r="G5" s="26"/>
      <c r="H5" s="26"/>
      <c r="J5" s="26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6">
        <f>(T5/R5)</f>
        <v>4.5305303587888641</v>
      </c>
      <c r="T5" s="26">
        <f>D5-5.49217*N6</f>
        <v>9.7537024700000003</v>
      </c>
    </row>
    <row r="6" spans="2:21">
      <c r="B6" s="2">
        <v>2.62524E-3</v>
      </c>
      <c r="C6" s="29">
        <v>0</v>
      </c>
      <c r="D6" s="29">
        <f>(B6*C6)</f>
        <v>0</v>
      </c>
      <c r="E6" s="26">
        <f>(B6*J3)</f>
        <v>1.5630851391720792E-2</v>
      </c>
      <c r="G6" s="26"/>
      <c r="H6" s="26"/>
      <c r="J6" s="26"/>
      <c r="M6" t="s">
        <v>10</v>
      </c>
      <c r="N6" s="1">
        <f>-B7</f>
        <v>0.40899999999999997</v>
      </c>
      <c r="O6" s="46">
        <f>P6/N6</f>
        <v>7.570026161369193</v>
      </c>
      <c r="P6" s="26">
        <f>-D7</f>
        <v>3.0961406999999999</v>
      </c>
      <c r="Q6" t="s">
        <v>11</v>
      </c>
      <c r="R6" s="2">
        <f>(B6)</f>
        <v>2.62524E-3</v>
      </c>
      <c r="S6" s="29">
        <f>0</f>
        <v>0</v>
      </c>
      <c r="T6" s="29">
        <f>(D6)</f>
        <v>0</v>
      </c>
    </row>
    <row r="7" spans="2:21">
      <c r="B7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2*($B$5+$B$6)/5-$N$6</f>
        <v>0.453203356</v>
      </c>
      <c r="O7" s="46">
        <f>($C$5*[1]Params!K9)</f>
        <v>8.9182731538402358</v>
      </c>
      <c r="P7" s="26">
        <f>(O7*N7)</f>
        <v>4.041791323045099</v>
      </c>
      <c r="R7" s="24">
        <f>B7-B7</f>
        <v>0</v>
      </c>
      <c r="S7" s="26">
        <v>0</v>
      </c>
      <c r="T7" s="26">
        <f>D7-B7*5.49217</f>
        <v>-0.8498431700000002</v>
      </c>
      <c r="U7" t="s">
        <v>100</v>
      </c>
    </row>
    <row r="8" spans="2:21">
      <c r="C8" s="26"/>
      <c r="D8" s="26"/>
      <c r="E8" s="26"/>
      <c r="G8" s="26"/>
      <c r="H8" s="26"/>
      <c r="J8" s="26"/>
      <c r="N8" s="1">
        <f>($B$5/5)</f>
        <v>0.43057663000000002</v>
      </c>
      <c r="O8" s="46">
        <f>($C$5*[1]Params!K10)</f>
        <v>12.262625586530325</v>
      </c>
      <c r="P8" s="26">
        <f>(O8*N8)</f>
        <v>5.2800000000000011</v>
      </c>
      <c r="R8" s="19"/>
      <c r="S8" s="27"/>
      <c r="T8" s="27"/>
    </row>
    <row r="9" spans="2:21">
      <c r="C9" s="26"/>
      <c r="D9" s="26"/>
      <c r="E9" s="26"/>
      <c r="F9" t="s">
        <v>12</v>
      </c>
      <c r="G9" s="26">
        <f>(D10/B10)</f>
        <v>5.0980913409754649</v>
      </c>
      <c r="H9" s="26"/>
      <c r="J9" s="26"/>
      <c r="N9" s="1">
        <f>($B$5/5)</f>
        <v>0.43057663000000002</v>
      </c>
      <c r="O9" s="46">
        <f>($C$5*[1]Params!K11)</f>
        <v>27.869603605750733</v>
      </c>
      <c r="P9" s="26">
        <f>(O9*N9)</f>
        <v>12</v>
      </c>
    </row>
    <row r="10" spans="2:21">
      <c r="B10" s="1">
        <f>(SUM(B5:B9))</f>
        <v>1.74650839</v>
      </c>
      <c r="C10" s="26"/>
      <c r="D10" s="26">
        <f>(SUM(D5:D9))</f>
        <v>8.9038593000000006</v>
      </c>
      <c r="E10" s="26"/>
      <c r="G10" s="26"/>
      <c r="H10" s="26"/>
      <c r="J10" s="26"/>
      <c r="O10" s="26"/>
      <c r="P10" s="26"/>
    </row>
    <row r="11" spans="2:21">
      <c r="O11" s="26"/>
      <c r="P11" s="26">
        <f>(SUM(P6:P9))</f>
        <v>24.4179320230451</v>
      </c>
    </row>
    <row r="12" spans="2:21">
      <c r="O12" s="26"/>
      <c r="P12" s="26"/>
    </row>
    <row r="13" spans="2:21">
      <c r="O13" s="26"/>
      <c r="P13" s="26"/>
    </row>
    <row r="18" spans="18:20">
      <c r="R18">
        <f>(SUM(R5:R17))</f>
        <v>2.1555083900000001</v>
      </c>
      <c r="T18" s="26">
        <f>(SUM(T5:T17))</f>
        <v>8.9038593000000006</v>
      </c>
    </row>
  </sheetData>
  <conditionalFormatting sqref="C5">
    <cfRule type="cellIs" dxfId="21" priority="9" operator="lessThan">
      <formula>$J$3</formula>
    </cfRule>
    <cfRule type="cellIs" dxfId="20" priority="10" operator="greaterThan">
      <formula>$J$3</formula>
    </cfRule>
  </conditionalFormatting>
  <conditionalFormatting sqref="O7:O9">
    <cfRule type="cellIs" dxfId="19" priority="7" operator="lessThan">
      <formula>$J$3</formula>
    </cfRule>
    <cfRule type="cellIs" dxfId="18" priority="8" operator="greaterThan">
      <formula>$J$3</formula>
    </cfRule>
  </conditionalFormatting>
  <conditionalFormatting sqref="G9">
    <cfRule type="cellIs" dxfId="17" priority="5" operator="lessThan">
      <formula>$J$3</formula>
    </cfRule>
    <cfRule type="cellIs" dxfId="16" priority="6" operator="greaterThan">
      <formula>$J$3</formula>
    </cfRule>
  </conditionalFormatting>
  <conditionalFormatting sqref="O3">
    <cfRule type="cellIs" dxfId="15" priority="3" operator="greaterThan">
      <formula>$J$3</formula>
    </cfRule>
    <cfRule type="cellIs" dxfId="14" priority="4" operator="lessThan">
      <formula>$J$3</formula>
    </cfRule>
  </conditionalFormatting>
  <conditionalFormatting sqref="S5">
    <cfRule type="cellIs" dxfId="13" priority="1" operator="lessThan">
      <formula>$J$3</formula>
    </cfRule>
    <cfRule type="cellIs" dxfId="12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0.55724239518792074</v>
      </c>
      <c r="M3" t="s">
        <v>4</v>
      </c>
      <c r="N3" s="19">
        <f>(INDEX(N5:N14,MATCH(MAX(O6:O7),O5:O14,0))/0.9)</f>
        <v>17.155555555555555</v>
      </c>
      <c r="O3" s="53">
        <f>(MAX(O6:O7)*0.85)</f>
        <v>0.48366312490284974</v>
      </c>
      <c r="P3" s="26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17.26753306237439</v>
      </c>
      <c r="K4" s="4">
        <f>(J4/D14-1)</f>
        <v>6.3850237771325968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6">
        <f>(D5/B5)</f>
        <v>0.35691793305370928</v>
      </c>
      <c r="D5" s="26">
        <v>18.600000000000001</v>
      </c>
      <c r="N5" t="s">
        <v>32</v>
      </c>
      <c r="O5" t="s">
        <v>1</v>
      </c>
      <c r="P5" t="s">
        <v>2</v>
      </c>
      <c r="R5" s="19">
        <f>(SUM(B$5:B$7))</f>
        <v>54.394746300000001</v>
      </c>
      <c r="S5" s="26">
        <f>(T5/R5)</f>
        <v>0.35113685234708047</v>
      </c>
      <c r="T5" s="26">
        <f>(SUM(D5:D7))</f>
        <v>19.100000000000001</v>
      </c>
    </row>
    <row r="6" spans="2:21">
      <c r="B6" s="20">
        <v>0.81973483000000003</v>
      </c>
      <c r="C6" s="29">
        <v>0</v>
      </c>
      <c r="D6" s="29">
        <f>(B6*C6)</f>
        <v>0</v>
      </c>
      <c r="E6" s="26">
        <f>(B6*J3)</f>
        <v>0.45679100008816304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9">
        <v>1.46219147</v>
      </c>
      <c r="C7" s="26">
        <f>(D7/B7)</f>
        <v>0.34195248040942272</v>
      </c>
      <c r="D7" s="26">
        <v>0.5</v>
      </c>
      <c r="N7" s="19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9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9">
        <f>(B$14/3)</f>
        <v>10.3291573</v>
      </c>
      <c r="O8" s="26">
        <f>($C$5*[1]Params!K10)</f>
        <v>0.78521945271816052</v>
      </c>
      <c r="P8" s="26">
        <f>(O8*N8)</f>
        <v>8.1106552421457927</v>
      </c>
      <c r="R8" s="19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9">
        <f>(B$14/3)</f>
        <v>10.3291573</v>
      </c>
      <c r="O9" s="26">
        <f>($C$5*[1]Params!K11)</f>
        <v>1.7845896652685465</v>
      </c>
      <c r="P9" s="26">
        <f>(O9*N9)</f>
        <v>18.433307368513162</v>
      </c>
    </row>
    <row r="10" spans="2:21">
      <c r="B10" s="19">
        <v>12.15260941</v>
      </c>
      <c r="C10" s="26">
        <f>D10/B10</f>
        <v>0.66076344010467125</v>
      </c>
      <c r="D10" s="26">
        <v>8.0299999999999994</v>
      </c>
    </row>
    <row r="11" spans="2:21">
      <c r="B11" s="19">
        <v>12.360116189999999</v>
      </c>
      <c r="C11" s="26">
        <f>D11/B11</f>
        <v>0.47491462942307505</v>
      </c>
      <c r="D11" s="26">
        <v>5.87</v>
      </c>
      <c r="P11" s="26">
        <f>(SUM(P6:P9))</f>
        <v>40.382258380658953</v>
      </c>
    </row>
    <row r="12" spans="2:21">
      <c r="B12" s="19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7.5455734741626354E-2</v>
      </c>
    </row>
    <row r="14" spans="2:21">
      <c r="B14" s="19">
        <f>(SUM(B5:B13))</f>
        <v>30.987471900000003</v>
      </c>
      <c r="D14" s="26">
        <f>(SUM(D5:D13))</f>
        <v>2.3381824600000005</v>
      </c>
    </row>
    <row r="18" spans="12:20">
      <c r="R18">
        <f>(SUM(R5:R17))</f>
        <v>30.987471900000003</v>
      </c>
      <c r="T18" s="26">
        <f>(SUM(T5:T17))</f>
        <v>2.3381824600000005</v>
      </c>
    </row>
    <row r="22" spans="12:20">
      <c r="L22" s="27"/>
    </row>
    <row r="25" spans="12:20">
      <c r="N25" s="19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28" width="9.140625" style="14" customWidth="1"/>
    <col min="22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13.370302179111439</v>
      </c>
      <c r="M3" t="s">
        <v>4</v>
      </c>
      <c r="N3" s="19">
        <f>(INDEX(N5:N14,MATCH(MAX(O6),O5:O14,0))/0.85)</f>
        <v>0.3411764705882353</v>
      </c>
      <c r="O3" s="53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16.761278886292789</v>
      </c>
      <c r="K4" s="4">
        <f>(J4/D14-1)</f>
        <v>0.10994056616436798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E5" t="s">
        <v>101</v>
      </c>
      <c r="N5" t="s">
        <v>32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9.2831000000000001E-4</v>
      </c>
      <c r="C6" s="29">
        <v>0</v>
      </c>
      <c r="D6" s="29">
        <f>(B6*C6)</f>
        <v>0</v>
      </c>
      <c r="E6" s="26">
        <f>(B6*J3)</f>
        <v>1.241178521589094E-2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9.2831000000000001E-4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2*(B$14-$B$7)/5+$B$7</f>
        <v>0.32744802000000001</v>
      </c>
      <c r="O7" s="26">
        <f>($S$5*[1]Params!K9)</f>
        <v>20.798136978216206</v>
      </c>
      <c r="P7" s="26">
        <f>(O7*N7)</f>
        <v>6.81030877320568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0.30872400999999999</v>
      </c>
      <c r="O8" s="26">
        <f>($S$5*[1]Params!K10)</f>
        <v>28.597438345047287</v>
      </c>
      <c r="P8" s="26">
        <f>(O8*N8)</f>
        <v>8.8287158416107623</v>
      </c>
      <c r="R8" s="19"/>
      <c r="S8" s="27"/>
      <c r="T8" s="27"/>
    </row>
    <row r="9" spans="2:21">
      <c r="C9" s="27"/>
      <c r="D9" s="26"/>
      <c r="N9" s="1">
        <f>(B$14-$B$7)/5</f>
        <v>0.30872400999999999</v>
      </c>
      <c r="O9" s="26">
        <f>($S$5*[1]Params!K11)</f>
        <v>64.994178056925648</v>
      </c>
      <c r="P9" s="26">
        <f>(O9*N9)</f>
        <v>20.065263276388094</v>
      </c>
    </row>
    <row r="10" spans="2:21">
      <c r="B10" s="19"/>
      <c r="C10" s="26"/>
      <c r="D10" s="26"/>
    </row>
    <row r="11" spans="2:21">
      <c r="B11" s="19"/>
      <c r="C11" s="26"/>
      <c r="D11" s="26"/>
      <c r="P11" s="26">
        <f>(SUM(P6:P9))</f>
        <v>40.603228071204541</v>
      </c>
    </row>
    <row r="12" spans="2:21">
      <c r="B12" s="19"/>
      <c r="C12" s="27"/>
      <c r="D12" s="26"/>
    </row>
    <row r="13" spans="2:21">
      <c r="F13" t="s">
        <v>12</v>
      </c>
      <c r="G13" s="26">
        <f>(D14/B14)</f>
        <v>12.045962267435019</v>
      </c>
    </row>
    <row r="14" spans="2:21">
      <c r="B14" s="19">
        <f>(SUM(B5:B13))</f>
        <v>1.2536200499999999</v>
      </c>
      <c r="D14" s="26">
        <f>(SUM(D5:D13))</f>
        <v>15.10105982</v>
      </c>
    </row>
    <row r="18" spans="12:20">
      <c r="R18">
        <f>(SUM(R5:R17))</f>
        <v>1.2536200499999999</v>
      </c>
      <c r="T18" s="26">
        <f>(SUM(T5:T17))</f>
        <v>15.10105982</v>
      </c>
    </row>
    <row r="22" spans="12:20">
      <c r="L22" s="27"/>
    </row>
    <row r="25" spans="12:20">
      <c r="N25" s="19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28" width="9.140625" style="14" customWidth="1"/>
    <col min="229" max="16384" width="9.140625" style="14"/>
  </cols>
  <sheetData>
    <row r="3" spans="2:21">
      <c r="I3" t="s">
        <v>3</v>
      </c>
      <c r="J3" s="46">
        <v>2.4411235463178831</v>
      </c>
      <c r="N3" s="19"/>
      <c r="O3" s="53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16.284361295004242</v>
      </c>
      <c r="K4" s="4">
        <f>(J4/D14-1)</f>
        <v>-0.18578193524978792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E5" t="s">
        <v>101</v>
      </c>
      <c r="N5" t="s">
        <v>32</v>
      </c>
      <c r="O5" t="s">
        <v>1</v>
      </c>
      <c r="P5" t="s">
        <v>2</v>
      </c>
      <c r="R5" s="19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1.9238E-4</v>
      </c>
      <c r="C6" s="29">
        <v>0</v>
      </c>
      <c r="D6" s="29">
        <f>(B6*C6)</f>
        <v>0</v>
      </c>
      <c r="E6" s="26">
        <f>(B6*J3)</f>
        <v>4.6962334784063435E-4</v>
      </c>
      <c r="M6" t="s">
        <v>10</v>
      </c>
      <c r="N6" s="19">
        <f>(B$14/5)</f>
        <v>1.334169368</v>
      </c>
      <c r="O6" s="26">
        <f>($C$5*[1]Params!K8)</f>
        <v>3.8976685355097827</v>
      </c>
      <c r="P6" s="26">
        <f>(O6*N6)</f>
        <v>5.2001499666945721</v>
      </c>
      <c r="R6" s="19">
        <f>(B6)</f>
        <v>1.9238E-4</v>
      </c>
      <c r="S6" s="26">
        <f>(C6)</f>
        <v>0</v>
      </c>
      <c r="T6" s="26">
        <f>(D6)</f>
        <v>0</v>
      </c>
    </row>
    <row r="7" spans="2:21">
      <c r="B7" s="19"/>
      <c r="C7" s="26"/>
      <c r="D7" s="26"/>
      <c r="N7" s="19">
        <f>(B$14/5)</f>
        <v>1.334169368</v>
      </c>
      <c r="O7" s="26">
        <f>($C$5*[1]Params!K9)</f>
        <v>4.7971305052428095</v>
      </c>
      <c r="P7" s="26">
        <f>(O7*N7)</f>
        <v>6.4001845743933199</v>
      </c>
      <c r="R7" s="19"/>
      <c r="S7" s="26"/>
      <c r="T7" s="27"/>
      <c r="U7" s="27"/>
    </row>
    <row r="8" spans="2:21">
      <c r="C8" s="26"/>
      <c r="D8" s="26"/>
      <c r="N8" s="19">
        <f>(B$14/5)</f>
        <v>1.334169368</v>
      </c>
      <c r="O8" s="26">
        <f>($C$5*[1]Params!K10)</f>
        <v>6.5960544447088632</v>
      </c>
      <c r="P8" s="26">
        <f>(O8*N8)</f>
        <v>8.8002537897908155</v>
      </c>
      <c r="R8" s="19"/>
      <c r="S8" s="27"/>
      <c r="T8" s="27"/>
    </row>
    <row r="9" spans="2:21">
      <c r="C9" s="27"/>
      <c r="D9" s="26"/>
      <c r="N9" s="19">
        <f>(B$14/5)</f>
        <v>1.334169368</v>
      </c>
      <c r="O9" s="26">
        <f>($C$5*[1]Params!K11)</f>
        <v>14.991032828883778</v>
      </c>
      <c r="P9" s="26">
        <f>(O9*N9)</f>
        <v>20.000576794979121</v>
      </c>
    </row>
    <row r="10" spans="2:21">
      <c r="B10" s="19"/>
      <c r="C10" s="26"/>
      <c r="D10" s="26"/>
    </row>
    <row r="11" spans="2:21">
      <c r="B11" s="19"/>
      <c r="C11" s="26"/>
      <c r="D11" s="26"/>
      <c r="P11" s="26">
        <f>(SUM(P6:P9))</f>
        <v>40.40116512585783</v>
      </c>
    </row>
    <row r="12" spans="2:21">
      <c r="B12" s="19"/>
      <c r="C12" s="27"/>
      <c r="D12" s="26"/>
    </row>
    <row r="13" spans="2:21">
      <c r="F13" t="s">
        <v>12</v>
      </c>
      <c r="G13" s="26">
        <f>(D14/B14)</f>
        <v>2.9981201007457101</v>
      </c>
    </row>
    <row r="14" spans="2:21">
      <c r="B14" s="19">
        <f>(SUM(B5:B13))</f>
        <v>6.6708468399999994</v>
      </c>
      <c r="D14" s="26">
        <f>(SUM(D5:D13))</f>
        <v>20</v>
      </c>
    </row>
    <row r="18" spans="12:20">
      <c r="R18">
        <f>(SUM(R5:R17))</f>
        <v>6.6708468399999994</v>
      </c>
      <c r="T18" s="26">
        <f>(SUM(T5:T17))</f>
        <v>20</v>
      </c>
    </row>
    <row r="22" spans="12:20">
      <c r="L22" s="27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O6" sqref="O6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6">
        <v>0.39045003685831181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2.3754199342385975</v>
      </c>
      <c r="K4" s="4">
        <f>(J4/D9-1)</f>
        <v>-0.91771308341992208</v>
      </c>
    </row>
    <row r="5" spans="2:16">
      <c r="B5" s="19">
        <v>1.5469999999999999</v>
      </c>
      <c r="C5" s="26">
        <v>10</v>
      </c>
      <c r="D5" s="26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9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9">
        <f>(SUM(B5:B8))</f>
        <v>6.0838000000000001</v>
      </c>
      <c r="D9" s="26">
        <f>(SUM(D5:D8))</f>
        <v>28.867528799999995</v>
      </c>
    </row>
    <row r="10" spans="2:16">
      <c r="D10" s="26"/>
      <c r="N10" t="s">
        <v>32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91" priority="9" operator="lessThan">
      <formula>$J$3</formula>
    </cfRule>
    <cfRule type="cellIs" dxfId="290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752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4">
        <v>5.1609928046540349E-3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9">
        <v>135</v>
      </c>
      <c r="D5" s="26">
        <v>3.5</v>
      </c>
      <c r="E5" s="27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9">
        <v>18</v>
      </c>
      <c r="D6" s="26">
        <v>3.5</v>
      </c>
      <c r="E6" s="27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6">
        <v>18</v>
      </c>
      <c r="D7" s="26">
        <v>3.5</v>
      </c>
      <c r="E7" s="27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6">
        <v>55</v>
      </c>
      <c r="D8" s="26">
        <v>3.5</v>
      </c>
      <c r="E8" s="27">
        <f t="shared" si="0"/>
        <v>58.5</v>
      </c>
      <c r="F8" s="9" t="s">
        <v>43</v>
      </c>
    </row>
    <row r="9" spans="2:14">
      <c r="B9" s="8" t="s">
        <v>49</v>
      </c>
      <c r="C9" s="26">
        <v>-134.99</v>
      </c>
      <c r="D9" s="26">
        <v>0.01</v>
      </c>
      <c r="E9" s="27">
        <f t="shared" si="0"/>
        <v>-134.98000000000002</v>
      </c>
      <c r="F9" s="9" t="s">
        <v>50</v>
      </c>
    </row>
    <row r="10" spans="2:14">
      <c r="B10" s="8" t="s">
        <v>49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43</v>
      </c>
    </row>
    <row r="11" spans="2:14">
      <c r="B11" s="8" t="s">
        <v>49</v>
      </c>
      <c r="C11" s="26">
        <v>-144.96</v>
      </c>
      <c r="D11" s="26">
        <v>0.01</v>
      </c>
      <c r="E11" s="27">
        <f t="shared" si="0"/>
        <v>-144.95000000000002</v>
      </c>
      <c r="F11" s="9" t="s">
        <v>50</v>
      </c>
    </row>
    <row r="12" spans="2:14">
      <c r="B12" s="8" t="s">
        <v>49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43</v>
      </c>
      <c r="I12" t="s">
        <v>51</v>
      </c>
      <c r="J12" s="26">
        <f>(SUM(D5:E8))</f>
        <v>254</v>
      </c>
    </row>
    <row r="13" spans="2:14">
      <c r="B13" s="8" t="s">
        <v>49</v>
      </c>
      <c r="C13" s="26">
        <v>-144.94999999999999</v>
      </c>
      <c r="D13" s="26">
        <v>0.01</v>
      </c>
      <c r="E13" s="27">
        <f t="shared" si="0"/>
        <v>-144.94</v>
      </c>
      <c r="F13" s="9" t="s">
        <v>50</v>
      </c>
      <c r="I13" t="s">
        <v>52</v>
      </c>
      <c r="J13" s="26">
        <f>(SUM(K35:K43)-C77*J3+D77)</f>
        <v>10.14930582518754</v>
      </c>
    </row>
    <row r="14" spans="2:14">
      <c r="B14" s="8" t="s">
        <v>49</v>
      </c>
      <c r="C14" s="26">
        <v>130</v>
      </c>
      <c r="D14" s="26">
        <f>0.01</f>
        <v>0.01</v>
      </c>
      <c r="E14" s="27">
        <f t="shared" si="0"/>
        <v>130.01</v>
      </c>
      <c r="F14" s="9" t="s">
        <v>43</v>
      </c>
      <c r="I14" t="s">
        <v>53</v>
      </c>
      <c r="J14" s="26">
        <f>(-SUM(E9:E31))</f>
        <v>-7.0166399999999376</v>
      </c>
      <c r="K14" s="27">
        <f>(J14-M38-M39-M40-M42-L43)</f>
        <v>-56.516639999999931</v>
      </c>
    </row>
    <row r="15" spans="2:14">
      <c r="B15" s="8" t="s">
        <v>49</v>
      </c>
      <c r="C15" s="26">
        <v>-144.97999999999999</v>
      </c>
      <c r="D15" s="26">
        <v>0.01</v>
      </c>
      <c r="E15" s="27">
        <f t="shared" si="0"/>
        <v>-144.97</v>
      </c>
      <c r="F15" s="9" t="s">
        <v>50</v>
      </c>
      <c r="I15" t="s">
        <v>37</v>
      </c>
      <c r="J15" s="26">
        <f>(J13-J12+J14)</f>
        <v>-250.86733417481241</v>
      </c>
    </row>
    <row r="16" spans="2:14">
      <c r="B16" s="8" t="s">
        <v>49</v>
      </c>
      <c r="C16" s="26">
        <v>130</v>
      </c>
      <c r="D16" s="26">
        <f>0.01</f>
        <v>0.01</v>
      </c>
      <c r="E16" s="27">
        <f t="shared" si="0"/>
        <v>130.01</v>
      </c>
      <c r="F16" s="9" t="s">
        <v>43</v>
      </c>
      <c r="I16" t="s">
        <v>54</v>
      </c>
      <c r="J16" s="26">
        <f>(J15+M47)</f>
        <v>-139.11733417481241</v>
      </c>
    </row>
    <row r="17" spans="2:18">
      <c r="B17" s="8" t="s">
        <v>47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43</v>
      </c>
    </row>
    <row r="18" spans="2:18">
      <c r="B18" s="8" t="s">
        <v>47</v>
      </c>
      <c r="C18" s="26">
        <v>38</v>
      </c>
      <c r="D18" s="26">
        <v>0.01</v>
      </c>
      <c r="E18" s="27">
        <f t="shared" si="0"/>
        <v>38.01</v>
      </c>
      <c r="F18" s="9" t="s">
        <v>55</v>
      </c>
      <c r="R18" s="27"/>
    </row>
    <row r="19" spans="2:18">
      <c r="B19" s="8" t="s">
        <v>47</v>
      </c>
      <c r="C19" s="26">
        <v>11.25</v>
      </c>
      <c r="D19" s="26">
        <v>0.01</v>
      </c>
      <c r="E19" s="27">
        <f t="shared" si="0"/>
        <v>11.26</v>
      </c>
      <c r="F19" s="9" t="s">
        <v>43</v>
      </c>
    </row>
    <row r="20" spans="2:18">
      <c r="B20" s="8" t="s">
        <v>47</v>
      </c>
      <c r="C20" s="29">
        <v>8.02</v>
      </c>
      <c r="D20" s="26">
        <v>0.01</v>
      </c>
      <c r="E20" s="27">
        <f t="shared" si="0"/>
        <v>8.0299999999999994</v>
      </c>
      <c r="F20" s="9" t="s">
        <v>43</v>
      </c>
    </row>
    <row r="21" spans="2:18">
      <c r="B21" s="8" t="s">
        <v>45</v>
      </c>
      <c r="C21" s="26">
        <v>6.01</v>
      </c>
      <c r="D21" s="26">
        <v>0</v>
      </c>
      <c r="E21" s="27">
        <f t="shared" si="0"/>
        <v>6.01</v>
      </c>
      <c r="F21" s="9" t="s">
        <v>43</v>
      </c>
    </row>
    <row r="22" spans="2:18">
      <c r="B22" s="8" t="s">
        <v>49</v>
      </c>
      <c r="C22" s="26">
        <v>-30.99</v>
      </c>
      <c r="D22" s="26">
        <v>0</v>
      </c>
      <c r="E22" s="27">
        <f t="shared" si="0"/>
        <v>-30.99</v>
      </c>
      <c r="F22" s="9" t="s">
        <v>50</v>
      </c>
    </row>
    <row r="23" spans="2:18">
      <c r="B23" s="8" t="s">
        <v>49</v>
      </c>
      <c r="C23" s="26">
        <v>27.01</v>
      </c>
      <c r="D23" s="26">
        <v>0</v>
      </c>
      <c r="E23" s="27">
        <f t="shared" si="0"/>
        <v>27.01</v>
      </c>
      <c r="F23" s="9" t="s">
        <v>43</v>
      </c>
    </row>
    <row r="24" spans="2:18">
      <c r="B24" s="8" t="s">
        <v>49</v>
      </c>
      <c r="C24" s="26">
        <v>-47.22</v>
      </c>
      <c r="D24" s="26">
        <v>0</v>
      </c>
      <c r="E24" s="27">
        <f t="shared" si="0"/>
        <v>-47.22</v>
      </c>
      <c r="F24" s="9" t="s">
        <v>50</v>
      </c>
    </row>
    <row r="25" spans="2:18">
      <c r="B25" s="8" t="s">
        <v>49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43</v>
      </c>
    </row>
    <row r="26" spans="2:18">
      <c r="B26" s="8" t="s">
        <v>49</v>
      </c>
      <c r="C26" s="26">
        <v>-59.99</v>
      </c>
      <c r="D26" s="26">
        <v>0</v>
      </c>
      <c r="E26" s="27">
        <f t="shared" si="0"/>
        <v>-59.99</v>
      </c>
      <c r="F26" s="9" t="s">
        <v>50</v>
      </c>
    </row>
    <row r="27" spans="2:18">
      <c r="B27" s="8" t="s">
        <v>49</v>
      </c>
      <c r="C27" s="29">
        <v>30.05</v>
      </c>
      <c r="D27" s="26">
        <v>0</v>
      </c>
      <c r="E27" s="27">
        <f t="shared" si="0"/>
        <v>30.05</v>
      </c>
      <c r="F27" s="9" t="s">
        <v>43</v>
      </c>
    </row>
    <row r="28" spans="2:18">
      <c r="B28" s="8" t="s">
        <v>49</v>
      </c>
      <c r="C28" s="29">
        <v>36.01</v>
      </c>
      <c r="D28" s="26">
        <v>0</v>
      </c>
      <c r="E28" s="27">
        <f t="shared" si="0"/>
        <v>36.01</v>
      </c>
      <c r="F28" s="9" t="s">
        <v>43</v>
      </c>
    </row>
    <row r="29" spans="2:18">
      <c r="B29" s="8" t="s">
        <v>45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50</v>
      </c>
    </row>
    <row r="30" spans="2:18">
      <c r="B30" s="8" t="s">
        <v>47</v>
      </c>
      <c r="C30" s="26">
        <v>4</v>
      </c>
      <c r="D30" s="26">
        <v>0.01</v>
      </c>
      <c r="E30" s="26">
        <f>(C30+D30)</f>
        <v>4.01</v>
      </c>
      <c r="F30" s="9" t="s">
        <v>43</v>
      </c>
    </row>
    <row r="31" spans="2:18">
      <c r="B31" s="10" t="s">
        <v>47</v>
      </c>
      <c r="C31" s="35">
        <v>-8.4440000000000008</v>
      </c>
      <c r="D31" s="35">
        <f>-C31*6%</f>
        <v>0.50663999999999998</v>
      </c>
      <c r="E31" s="35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752</v>
      </c>
      <c r="E35">
        <f t="shared" ref="E35:E41" si="1">C35*D35</f>
        <v>4703.0079999999998</v>
      </c>
      <c r="F35" s="36">
        <f t="shared" ref="F35:F41" si="2">E35*$N$5</f>
        <v>3762.4063999999998</v>
      </c>
      <c r="G35" s="26">
        <v>3.5</v>
      </c>
      <c r="H35" s="37">
        <f>G51</f>
        <v>1.5615590400000001</v>
      </c>
      <c r="I35" s="27">
        <f t="shared" ref="I35:I42" si="3">((F35-H35*D35)*$J$3-G35)</f>
        <v>9.8572377415334778</v>
      </c>
      <c r="J35">
        <v>1</v>
      </c>
      <c r="K35" s="38">
        <f t="shared" ref="K35:K41" si="4">I35*J35</f>
        <v>9.8572377415334778</v>
      </c>
      <c r="L35" s="39">
        <v>31</v>
      </c>
      <c r="M35" s="39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752</v>
      </c>
      <c r="E36">
        <f t="shared" si="1"/>
        <v>726.43200000000002</v>
      </c>
      <c r="F36" s="36">
        <f t="shared" si="2"/>
        <v>581.14560000000006</v>
      </c>
      <c r="G36" s="26">
        <v>3.5</v>
      </c>
      <c r="H36" s="37">
        <f>G52</f>
        <v>0.21337130135885166</v>
      </c>
      <c r="I36" s="27">
        <f t="shared" si="3"/>
        <v>-1.3288199687202389</v>
      </c>
      <c r="J36">
        <v>1</v>
      </c>
      <c r="K36" s="38">
        <f t="shared" si="4"/>
        <v>-1.3288199687202389</v>
      </c>
      <c r="L36" s="39">
        <v>8.6999999999999993</v>
      </c>
      <c r="M36" s="39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752</v>
      </c>
      <c r="E37">
        <f t="shared" si="1"/>
        <v>639.952</v>
      </c>
      <c r="F37" s="36">
        <f t="shared" si="2"/>
        <v>511.96160000000003</v>
      </c>
      <c r="G37" s="26">
        <v>3.5</v>
      </c>
      <c r="H37" s="37">
        <f>G53</f>
        <v>0.18479602162162162</v>
      </c>
      <c r="I37" s="27">
        <f t="shared" si="3"/>
        <v>-1.5749755314550788</v>
      </c>
      <c r="J37">
        <v>1</v>
      </c>
      <c r="K37" s="38">
        <f t="shared" si="4"/>
        <v>-1.5749755314550788</v>
      </c>
      <c r="L37" s="39">
        <v>7.3</v>
      </c>
      <c r="M37" s="39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718</v>
      </c>
      <c r="E38">
        <f t="shared" si="1"/>
        <v>611.01800000000003</v>
      </c>
      <c r="F38" s="36">
        <f t="shared" si="2"/>
        <v>488.81440000000003</v>
      </c>
      <c r="G38" s="26">
        <v>0</v>
      </c>
      <c r="H38" s="37">
        <f>G53</f>
        <v>0.18479602162162162</v>
      </c>
      <c r="I38" s="27">
        <f t="shared" si="3"/>
        <v>1.8379887877862413</v>
      </c>
      <c r="J38">
        <v>3</v>
      </c>
      <c r="K38" s="38">
        <f t="shared" si="4"/>
        <v>5.5139663633587244</v>
      </c>
      <c r="L38" s="39">
        <f>L37</f>
        <v>7.3</v>
      </c>
      <c r="M38" s="39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660</v>
      </c>
      <c r="E39">
        <f t="shared" si="1"/>
        <v>561.66</v>
      </c>
      <c r="F39" s="36">
        <f t="shared" si="2"/>
        <v>449.32799999999997</v>
      </c>
      <c r="G39" s="26">
        <v>0</v>
      </c>
      <c r="H39" s="37">
        <f>H38</f>
        <v>0.18479602162162162</v>
      </c>
      <c r="I39" s="27">
        <f t="shared" si="3"/>
        <v>1.6895161559037868</v>
      </c>
      <c r="J39">
        <v>1</v>
      </c>
      <c r="K39" s="38">
        <f t="shared" si="4"/>
        <v>1.6895161559037868</v>
      </c>
      <c r="L39" s="39">
        <f>L38</f>
        <v>7.3</v>
      </c>
      <c r="M39" s="39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612</v>
      </c>
      <c r="E40">
        <f t="shared" si="1"/>
        <v>520.81200000000001</v>
      </c>
      <c r="F40" s="36">
        <f t="shared" si="2"/>
        <v>416.64960000000002</v>
      </c>
      <c r="G40" s="26">
        <v>0</v>
      </c>
      <c r="H40" s="37">
        <f>H39</f>
        <v>0.18479602162162162</v>
      </c>
      <c r="I40" s="27">
        <f t="shared" si="3"/>
        <v>1.566642253656239</v>
      </c>
      <c r="J40">
        <v>1</v>
      </c>
      <c r="K40" s="38">
        <f t="shared" si="4"/>
        <v>1.566642253656239</v>
      </c>
      <c r="L40" s="39">
        <f>L39</f>
        <v>7.3</v>
      </c>
      <c r="M40" s="39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40">
        <v>0</v>
      </c>
      <c r="H41" s="41">
        <f>H36</f>
        <v>0.21337130135885166</v>
      </c>
      <c r="I41" s="40">
        <f t="shared" si="3"/>
        <v>0.2021045241882756</v>
      </c>
      <c r="J41" s="16">
        <v>1</v>
      </c>
      <c r="K41" s="42">
        <f t="shared" si="4"/>
        <v>0.2021045241882756</v>
      </c>
      <c r="L41" s="43">
        <v>0</v>
      </c>
      <c r="M41" s="43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40">
        <v>0</v>
      </c>
      <c r="H42" s="41">
        <f>(H38)</f>
        <v>0.18479602162162162</v>
      </c>
      <c r="I42" s="40">
        <f t="shared" si="3"/>
        <v>1.1263441039358582</v>
      </c>
      <c r="J42" s="16">
        <v>1</v>
      </c>
      <c r="K42" s="42">
        <f>(I42*J42)</f>
        <v>1.1263441039358582</v>
      </c>
      <c r="L42" s="43">
        <v>0</v>
      </c>
      <c r="M42" s="43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8"/>
      <c r="L43" s="39">
        <v>13</v>
      </c>
      <c r="M43" s="39">
        <f>L43*J43</f>
        <v>26</v>
      </c>
    </row>
    <row r="44" spans="2:22">
      <c r="B44" s="8" t="s">
        <v>68</v>
      </c>
      <c r="J44">
        <v>1</v>
      </c>
      <c r="K44" s="9"/>
      <c r="L44" s="39">
        <v>0.4</v>
      </c>
      <c r="M44" s="39">
        <f>(L44*J44)</f>
        <v>0.4</v>
      </c>
    </row>
    <row r="45" spans="2:22">
      <c r="B45" s="8" t="s">
        <v>69</v>
      </c>
      <c r="J45">
        <v>1</v>
      </c>
      <c r="K45" s="9"/>
      <c r="L45" s="39">
        <v>0.35</v>
      </c>
      <c r="M45" s="39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9">
        <v>1.5</v>
      </c>
      <c r="M46" s="39">
        <f>(L46*J46)</f>
        <v>1.5</v>
      </c>
      <c r="V46" s="27"/>
    </row>
    <row r="47" spans="2:22">
      <c r="L47" t="s">
        <v>37</v>
      </c>
      <c r="M47" s="39">
        <f>(SUM(M34:M46))</f>
        <v>111.75</v>
      </c>
      <c r="O47" s="39">
        <f>(J13+SUM(G35:G41)-D77)</f>
        <v>2.1695538251875419</v>
      </c>
      <c r="P47">
        <f>(O47/J3)</f>
        <v>420.3752857843748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4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4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4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5">
        <v>1.1399999999999999</v>
      </c>
      <c r="E60" s="32">
        <f t="shared" ref="E60:E67" si="6">D60/C60</f>
        <v>1.0039857823396298E-2</v>
      </c>
    </row>
    <row r="61" spans="2:7">
      <c r="B61" s="8"/>
      <c r="C61" s="19">
        <v>130.53974622000001</v>
      </c>
      <c r="D61" s="45">
        <v>1.1793119999999999</v>
      </c>
      <c r="E61" s="32">
        <f t="shared" si="6"/>
        <v>9.0341220520874389E-3</v>
      </c>
    </row>
    <row r="62" spans="2:7">
      <c r="B62" s="8"/>
      <c r="C62" s="19">
        <v>167.40487411999999</v>
      </c>
      <c r="D62" s="45">
        <v>1.05481</v>
      </c>
      <c r="E62" s="32">
        <f t="shared" si="6"/>
        <v>6.3009515436443378E-3</v>
      </c>
    </row>
    <row r="63" spans="2:7">
      <c r="B63" s="8"/>
      <c r="C63" s="19">
        <v>167.96827999999999</v>
      </c>
      <c r="D63" s="45">
        <f>1.0512-0.00017</f>
        <v>1.0510299999999999</v>
      </c>
      <c r="E63" s="32">
        <f t="shared" si="6"/>
        <v>6.2573123925541178E-3</v>
      </c>
    </row>
    <row r="64" spans="2:7">
      <c r="B64" s="8"/>
      <c r="C64" s="19">
        <v>123.66</v>
      </c>
      <c r="D64" s="45">
        <v>1.0489999999999999</v>
      </c>
      <c r="E64" s="32">
        <f t="shared" si="6"/>
        <v>8.4829370855571719E-3</v>
      </c>
    </row>
    <row r="65" spans="2:5">
      <c r="B65" s="8"/>
      <c r="C65" s="19">
        <v>149.5</v>
      </c>
      <c r="D65" s="45">
        <v>1.17</v>
      </c>
      <c r="E65" s="32">
        <f t="shared" si="6"/>
        <v>7.826086956521738E-3</v>
      </c>
    </row>
    <row r="66" spans="2:5">
      <c r="B66" s="8"/>
      <c r="C66" s="19">
        <v>170.62</v>
      </c>
      <c r="D66" s="45">
        <v>1.1579999999999999</v>
      </c>
      <c r="E66" s="32">
        <f t="shared" si="6"/>
        <v>6.7870120736138783E-3</v>
      </c>
    </row>
    <row r="67" spans="2:5">
      <c r="B67" s="8"/>
      <c r="C67" s="19">
        <v>192.66</v>
      </c>
      <c r="D67" s="45">
        <v>1.0900000000000001</v>
      </c>
      <c r="E67" s="32">
        <f t="shared" si="6"/>
        <v>5.6576352122910834E-3</v>
      </c>
    </row>
    <row r="68" spans="2:5">
      <c r="B68" s="8"/>
      <c r="C68" s="19">
        <v>257.33999999999997</v>
      </c>
      <c r="D68" s="45">
        <v>1.1299999999999999</v>
      </c>
      <c r="E68" s="32">
        <f t="shared" ref="E68:E74" si="7">(D68/C68)</f>
        <v>4.3910779513484108E-3</v>
      </c>
    </row>
    <row r="69" spans="2:5">
      <c r="B69" s="8"/>
      <c r="C69" s="19">
        <v>312.13</v>
      </c>
      <c r="D69" s="45">
        <v>0.82</v>
      </c>
      <c r="E69" s="32">
        <f t="shared" si="7"/>
        <v>2.6271104988306155E-3</v>
      </c>
    </row>
    <row r="70" spans="2:5">
      <c r="B70" s="8"/>
      <c r="C70" s="19">
        <v>352.46100000000001</v>
      </c>
      <c r="D70" s="45">
        <v>1.2074</v>
      </c>
      <c r="E70" s="32">
        <f t="shared" si="7"/>
        <v>3.4256272325165053E-3</v>
      </c>
    </row>
    <row r="71" spans="2:5">
      <c r="B71" s="8"/>
      <c r="C71" s="19">
        <v>263.04000000000002</v>
      </c>
      <c r="D71" s="45">
        <v>1.0588</v>
      </c>
      <c r="E71" s="32">
        <f t="shared" si="7"/>
        <v>4.0252433090024325E-3</v>
      </c>
    </row>
    <row r="72" spans="2:5">
      <c r="B72" s="8"/>
      <c r="C72" s="19">
        <v>359.00495999999998</v>
      </c>
      <c r="D72" s="45">
        <v>1.1194999999999999</v>
      </c>
      <c r="E72" s="32">
        <f t="shared" si="7"/>
        <v>3.1183413176241355E-3</v>
      </c>
    </row>
    <row r="73" spans="2:5">
      <c r="B73" s="8"/>
      <c r="C73" s="19">
        <v>327.91</v>
      </c>
      <c r="D73" s="45">
        <v>1.0785</v>
      </c>
      <c r="E73" s="32">
        <f t="shared" si="7"/>
        <v>3.2890122289652647E-3</v>
      </c>
    </row>
    <row r="74" spans="2:5">
      <c r="B74" s="8"/>
      <c r="C74" s="19">
        <v>925.39</v>
      </c>
      <c r="D74" s="45">
        <v>3.1734</v>
      </c>
      <c r="E74" s="32">
        <f t="shared" si="7"/>
        <v>3.4292568538670182E-3</v>
      </c>
    </row>
    <row r="75" spans="2:5">
      <c r="B75" s="8"/>
      <c r="C75" s="19">
        <v>109.44</v>
      </c>
      <c r="D75" s="45"/>
      <c r="E75" s="32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6">
        <f>(SUM(D57:D76))</f>
        <v>18.479751999999998</v>
      </c>
    </row>
  </sheetData>
  <conditionalFormatting sqref="L35">
    <cfRule type="cellIs" dxfId="289" priority="17" operator="lessThan">
      <formula>$C$5</formula>
    </cfRule>
    <cfRule type="cellIs" dxfId="288" priority="18" operator="greaterThan">
      <formula>$C$5</formula>
    </cfRule>
  </conditionalFormatting>
  <conditionalFormatting sqref="L36">
    <cfRule type="cellIs" dxfId="287" priority="15" operator="lessThan">
      <formula>$C$6</formula>
    </cfRule>
    <cfRule type="cellIs" dxfId="286" priority="16" operator="greaterThan">
      <formula>$C$6</formula>
    </cfRule>
  </conditionalFormatting>
  <conditionalFormatting sqref="L40">
    <cfRule type="cellIs" dxfId="285" priority="13" operator="lessThan">
      <formula>$C$20</formula>
    </cfRule>
    <cfRule type="cellIs" dxfId="284" priority="14" operator="greaterThan">
      <formula>$C$20</formula>
    </cfRule>
  </conditionalFormatting>
  <conditionalFormatting sqref="L39">
    <cfRule type="cellIs" dxfId="283" priority="11" operator="lessThan">
      <formula>$C$19</formula>
    </cfRule>
    <cfRule type="cellIs" dxfId="282" priority="12" operator="greaterThan">
      <formula>$C$19</formula>
    </cfRule>
  </conditionalFormatting>
  <conditionalFormatting sqref="L38">
    <cfRule type="cellIs" dxfId="281" priority="9" operator="lessThan">
      <formula>$C$17</formula>
    </cfRule>
    <cfRule type="cellIs" dxfId="280" priority="10" operator="greaterThan">
      <formula>$C$17</formula>
    </cfRule>
  </conditionalFormatting>
  <conditionalFormatting sqref="L37">
    <cfRule type="cellIs" dxfId="279" priority="7" operator="lessThan">
      <formula>$C$7</formula>
    </cfRule>
    <cfRule type="cellIs" dxfId="278" priority="8" operator="greaterThan">
      <formula>$C$7</formula>
    </cfRule>
  </conditionalFormatting>
  <conditionalFormatting sqref="L43">
    <cfRule type="cellIs" dxfId="277" priority="3" operator="lessThan">
      <formula>$C$27</formula>
    </cfRule>
    <cfRule type="cellIs" dxfId="276" priority="4" operator="greaterThan">
      <formula>$C$27</formula>
    </cfRule>
  </conditionalFormatting>
  <conditionalFormatting sqref="L44:L46">
    <cfRule type="cellIs" dxfId="275" priority="1" operator="lessThan">
      <formula>$C$7</formula>
    </cfRule>
    <cfRule type="cellIs" dxfId="27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6">
        <f>(-270/3)</f>
        <v>-90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8">
        <v>0.01</v>
      </c>
      <c r="E5" s="28">
        <f>C5*D5</f>
        <v>1.232</v>
      </c>
    </row>
    <row r="6" spans="2:7">
      <c r="B6" t="s">
        <v>82</v>
      </c>
      <c r="C6">
        <f>48*(G3-2)</f>
        <v>3264</v>
      </c>
      <c r="D6" s="28">
        <v>1.4239999999999999E-4</v>
      </c>
      <c r="E6" s="28">
        <f>C6*D6</f>
        <v>0.46479359999999997</v>
      </c>
    </row>
    <row r="9" spans="2:7">
      <c r="E9" s="28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O18" sqref="O18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35" width="9.140625" style="14" customWidth="1"/>
    <col min="23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8.0117324882488248</v>
      </c>
      <c r="M3" t="s">
        <v>4</v>
      </c>
      <c r="N3" s="24">
        <f>(INDEX(N5:N21,MATCH(MAX(O6:O8),O5:O21,0))/0.85)</f>
        <v>0.13985732941176471</v>
      </c>
      <c r="O3" s="27">
        <f>(MAX(O6:O8)*0.75)</f>
        <v>6.6000000000000005</v>
      </c>
      <c r="P3" s="46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2.5145053953437846</v>
      </c>
      <c r="K4" s="4">
        <f>(J4/D13-1)</f>
        <v>-2.5498434598865281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1.31E-5</v>
      </c>
      <c r="C6" s="29">
        <v>0</v>
      </c>
      <c r="D6" s="29">
        <f>(B6*C6)</f>
        <v>0</v>
      </c>
      <c r="E6" s="26">
        <f>(B6*J3)</f>
        <v>1.049536955960596E-4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1.31E-5</v>
      </c>
      <c r="S6" s="29">
        <v>0</v>
      </c>
      <c r="T6" s="29">
        <f>(D6)</f>
        <v>0</v>
      </c>
      <c r="U6" s="26">
        <f>(R6*J3)</f>
        <v>1.049536955960596E-4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6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0.11888135</v>
      </c>
      <c r="O9" s="26">
        <f>($C$5*[1]Params!K11)</f>
        <v>20</v>
      </c>
      <c r="P9" s="26">
        <f>(O9*N9)</f>
        <v>2.3776269999999999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4.8027530919999997</v>
      </c>
    </row>
    <row r="12" spans="2:21">
      <c r="F12" t="s">
        <v>12</v>
      </c>
      <c r="G12" s="46">
        <f>(D13/B13)</f>
        <v>-5.1693817444217256</v>
      </c>
    </row>
    <row r="13" spans="2:21">
      <c r="B13" s="1">
        <f>(SUM(B5:B12))</f>
        <v>0.31385289</v>
      </c>
      <c r="D13" s="26">
        <f>(SUM(D5:D12))</f>
        <v>-1.6224254</v>
      </c>
      <c r="R13" s="1">
        <f>(SUM(R5:R12))</f>
        <v>0.59440674999999998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7"/>
    </row>
  </sheetData>
  <conditionalFormatting sqref="C5 G12 S5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9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3">
    <cfRule type="cellIs" dxfId="269" priority="1" operator="greaterThan">
      <formula>$J$3</formula>
    </cfRule>
    <cfRule type="cellIs" dxfId="268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0.49363893553628119</v>
      </c>
      <c r="M3" t="s">
        <v>4</v>
      </c>
      <c r="N3" s="24">
        <f>(INDEX(N5:N21,MATCH(MAX(O6:O7),O5:O21,0))/0.9)</f>
        <v>25</v>
      </c>
      <c r="O3" s="27">
        <f>(MAX(O6:O7)*0.85)</f>
        <v>0.48053107087131575</v>
      </c>
      <c r="P3" s="46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36.181610177207887</v>
      </c>
      <c r="K4" s="4">
        <f>(J4/D13-1)</f>
        <v>0.96622006752733314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0.74091863999999996</v>
      </c>
      <c r="C6" s="29">
        <v>0</v>
      </c>
      <c r="D6" s="29">
        <f>(B6*C6)</f>
        <v>0</v>
      </c>
      <c r="E6" s="26">
        <f>(B6*J3)</f>
        <v>0.36574628876858911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0.74091863999999996</v>
      </c>
      <c r="S6" s="29">
        <v>0</v>
      </c>
      <c r="T6" s="29">
        <f>(D6)</f>
        <v>0</v>
      </c>
      <c r="U6" s="26">
        <f>(R6*J3)</f>
        <v>0.36574628876858911</v>
      </c>
    </row>
    <row r="7" spans="2:21">
      <c r="B7" s="1">
        <v>114.98538983</v>
      </c>
      <c r="C7" s="26">
        <f>(D7/B7)</f>
        <v>0.35047930923729942</v>
      </c>
      <c r="D7" s="26">
        <v>40.299999999999997</v>
      </c>
      <c r="E7" t="s">
        <v>15</v>
      </c>
      <c r="N7" s="1">
        <f>-B11</f>
        <v>22.5</v>
      </c>
      <c r="O7" s="26">
        <f>($S$7*[1]Params!K9)</f>
        <v>0.56533067161331263</v>
      </c>
      <c r="P7" s="26">
        <f>-D11</f>
        <v>12.305999999999999</v>
      </c>
      <c r="Q7" t="s">
        <v>11</v>
      </c>
      <c r="R7" s="36">
        <f>B7+B10</f>
        <v>92.415389830000009</v>
      </c>
      <c r="S7" s="26">
        <f>(T7/R7)</f>
        <v>0.35333166975832037</v>
      </c>
      <c r="T7" s="26">
        <f>D7+B10*0.3388</f>
        <v>32.653283999999999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25.949418602000001</v>
      </c>
      <c r="O8" s="26">
        <f>($C$7*[1]Params!K10)</f>
        <v>0.77105448032205881</v>
      </c>
      <c r="P8" s="26">
        <f>(O8*N8)</f>
        <v>20.008415474824677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14.659139534000001</v>
      </c>
      <c r="O9" s="26">
        <f>($C$7*[1]Params!K11)</f>
        <v>1.752396546186497</v>
      </c>
      <c r="P9" s="26">
        <f>(O9*N9)</f>
        <v>25.688625489447539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68.085469934272226</v>
      </c>
    </row>
    <row r="12" spans="2:21">
      <c r="F12" t="s">
        <v>12</v>
      </c>
      <c r="G12" s="46">
        <f>(D13/B13)</f>
        <v>0.25105986033245431</v>
      </c>
    </row>
    <row r="13" spans="2:21">
      <c r="B13" s="1">
        <f>(SUM(B5:B12))</f>
        <v>73.29569767000001</v>
      </c>
      <c r="D13" s="26">
        <f>(SUM(D5:D12))</f>
        <v>18.40160762</v>
      </c>
      <c r="R13" s="1">
        <f>(SUM(R5:R12))</f>
        <v>95.79569767000001</v>
      </c>
      <c r="T13" s="26">
        <f>(SUM(T5:T12))</f>
        <v>30.707607620000001</v>
      </c>
    </row>
  </sheetData>
  <conditionalFormatting sqref="C5 C7 G12 S5 S7">
    <cfRule type="cellIs" dxfId="267" priority="19" operator="lessThan">
      <formula>$J$3</formula>
    </cfRule>
    <cfRule type="cellIs" dxfId="266" priority="20" operator="greaterThan">
      <formula>$J$3</formula>
    </cfRule>
  </conditionalFormatting>
  <conditionalFormatting sqref="O8:O9">
    <cfRule type="cellIs" dxfId="265" priority="15" operator="lessThan">
      <formula>$J$3</formula>
    </cfRule>
    <cfRule type="cellIs" dxfId="264" priority="16" operator="greaterThan">
      <formula>$J$3</formula>
    </cfRule>
  </conditionalFormatting>
  <conditionalFormatting sqref="C9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O3">
    <cfRule type="cellIs" dxfId="261" priority="1" operator="greaterThan">
      <formula>$J$3</formula>
    </cfRule>
    <cfRule type="cellIs" dxfId="260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2024-01-08T10:35:07Z</dcterms:modified>
</cp:coreProperties>
</file>