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31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6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3953664"/>
        <axId val="73955584"/>
      </lineChart>
      <dateAx>
        <axId val="7395366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955584"/>
        <crosses val="autoZero"/>
        <lblOffset val="100"/>
      </dateAx>
      <valAx>
        <axId val="7395558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95366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N4" sqref="N4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2240.22833918122</v>
      </c>
      <c r="M3" t="inlineStr">
        <is>
          <t>Objectif :</t>
        </is>
      </c>
      <c r="N3" s="24">
        <f>(INDEX(N5:N33,MATCH(MAX(O6,O14),O5:O33,0))/0.85)</f>
        <v/>
      </c>
      <c r="O3" s="57">
        <f>(MAX(O6,O14)*0.75)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58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58">
        <f>(R5*S5)</f>
        <v/>
      </c>
    </row>
    <row r="6">
      <c r="B6" s="24" t="n">
        <v>0.0005999999999999999</v>
      </c>
      <c r="C6" s="57" t="n">
        <v>3950</v>
      </c>
      <c r="D6" s="58">
        <f>B6*C6</f>
        <v/>
      </c>
      <c r="M6" t="inlineStr">
        <is>
          <t>Objectif</t>
        </is>
      </c>
      <c r="N6">
        <f>(-B39)</f>
        <v/>
      </c>
      <c r="O6" s="57">
        <f>(C39)</f>
        <v/>
      </c>
      <c r="P6" s="58">
        <f>(O6*N6)</f>
        <v/>
      </c>
      <c r="Q6" t="inlineStr">
        <is>
          <t>Done</t>
        </is>
      </c>
      <c r="R6" s="24">
        <f>(B6)</f>
        <v/>
      </c>
      <c r="S6" s="57" t="n">
        <v>3950</v>
      </c>
      <c r="T6" s="58">
        <f>(R6*S6)</f>
        <v/>
      </c>
    </row>
    <row r="7">
      <c r="B7" s="24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N7">
        <f>(2*($R$18+N6)/5-N6)</f>
        <v/>
      </c>
      <c r="O7" s="57">
        <f>($S$18*[1]Params!K16)</f>
        <v/>
      </c>
      <c r="P7" s="58">
        <f>(O7*N7)</f>
        <v/>
      </c>
      <c r="R7" s="24">
        <f>(B7)</f>
        <v/>
      </c>
      <c r="S7" s="57" t="n">
        <v>3428</v>
      </c>
      <c r="T7" s="58">
        <f>(R7*S7)</f>
        <v/>
      </c>
    </row>
    <row r="8">
      <c r="B8" s="24" t="n">
        <v>-0.0076</v>
      </c>
      <c r="C8" s="56" t="n">
        <v>3216.89</v>
      </c>
      <c r="D8" s="58">
        <f>B8*C8</f>
        <v/>
      </c>
      <c r="N8">
        <f>($B$35/5)</f>
        <v/>
      </c>
      <c r="O8" s="57">
        <f>($S$18*[1]Params!K17)</f>
        <v/>
      </c>
      <c r="P8" s="58">
        <f>(O8*N8)</f>
        <v/>
      </c>
      <c r="R8" s="24">
        <f>(B11+B10+B9+B8)</f>
        <v/>
      </c>
      <c r="S8" s="56" t="n">
        <v>0</v>
      </c>
      <c r="T8" s="58">
        <f>(D11+D10+D9+D8)</f>
        <v/>
      </c>
    </row>
    <row r="9">
      <c r="B9" s="24" t="n">
        <v>-0.0076</v>
      </c>
      <c r="C9" s="56" t="n">
        <v>3214.67</v>
      </c>
      <c r="D9" s="58">
        <f>B9*C9</f>
        <v/>
      </c>
      <c r="N9">
        <f>($B$35/5)</f>
        <v/>
      </c>
      <c r="O9" s="57">
        <f>($S$18*[1]Params!K18)</f>
        <v/>
      </c>
      <c r="P9" s="58">
        <f>(O9*N9)</f>
        <v/>
      </c>
      <c r="R9" s="24">
        <f>(B12)</f>
        <v/>
      </c>
      <c r="S9" s="56" t="n">
        <v>0</v>
      </c>
      <c r="T9" s="58">
        <f>(R9*S9)</f>
        <v/>
      </c>
    </row>
    <row r="10">
      <c r="B10" s="24" t="n">
        <v>-0.0076</v>
      </c>
      <c r="C10" s="56" t="n">
        <v>3213.16</v>
      </c>
      <c r="D10" s="58">
        <f>B10*C10</f>
        <v/>
      </c>
      <c r="R10" s="24">
        <f>(SUM(B13:B20))</f>
        <v/>
      </c>
      <c r="S10" s="57">
        <f>(T10/R10)</f>
        <v/>
      </c>
      <c r="T10" s="58">
        <f>(SUM(D13:D20))</f>
        <v/>
      </c>
    </row>
    <row r="11">
      <c r="B11" s="24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P11" s="58">
        <f>(SUM(P6:P9))</f>
        <v/>
      </c>
      <c r="R11" s="24">
        <f>(B21)</f>
        <v/>
      </c>
      <c r="S11" s="57" t="n">
        <v>1895</v>
      </c>
      <c r="T11" s="58">
        <f>(R11*S11)</f>
        <v/>
      </c>
    </row>
    <row r="12">
      <c r="B12" s="25" t="n">
        <v>0.00672926</v>
      </c>
      <c r="C12" s="59" t="n">
        <v>0</v>
      </c>
      <c r="D12" s="60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R12" s="24">
        <f>(B22)</f>
        <v/>
      </c>
      <c r="S12" s="57" t="n">
        <v>1890.15</v>
      </c>
      <c r="T12" s="58">
        <f>(R12*S12)</f>
        <v/>
      </c>
    </row>
    <row r="13">
      <c r="B13" s="24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7">
        <f>(T13/R13)</f>
        <v/>
      </c>
      <c r="T13" s="58">
        <f>(82.1)</f>
        <v/>
      </c>
    </row>
    <row r="14">
      <c r="B14" s="24" t="n">
        <v>-0.01</v>
      </c>
      <c r="C14" s="56" t="n">
        <v>2263</v>
      </c>
      <c r="D14" s="58">
        <f>B14*C14</f>
        <v/>
      </c>
      <c r="M14" t="inlineStr">
        <is>
          <t>Objectif</t>
        </is>
      </c>
      <c r="N14">
        <f>(-B38)</f>
        <v/>
      </c>
      <c r="O14" s="57">
        <f>(C38)</f>
        <v/>
      </c>
      <c r="P14" s="58">
        <f>(O14*N14)</f>
        <v/>
      </c>
      <c r="Q14" t="inlineStr">
        <is>
          <t>Done</t>
        </is>
      </c>
      <c r="R14" s="24">
        <f>(B24)</f>
        <v/>
      </c>
      <c r="S14" s="57" t="n">
        <v>1709</v>
      </c>
      <c r="T14" s="58">
        <f>(S14*R14)</f>
        <v/>
      </c>
    </row>
    <row r="15">
      <c r="B15" s="24" t="n">
        <v>-0.008999999999999999</v>
      </c>
      <c r="C15" s="56" t="n">
        <v>2114</v>
      </c>
      <c r="D15" s="58">
        <f>B15*C15</f>
        <v/>
      </c>
      <c r="N15">
        <f>(2*($R$19+N14)/5-N14)</f>
        <v/>
      </c>
      <c r="O15" s="57">
        <f>($S$19*[1]Params!K16)</f>
        <v/>
      </c>
      <c r="P15" s="58">
        <f>(O15*N15)</f>
        <v/>
      </c>
      <c r="R15" s="24">
        <f>(B25)</f>
        <v/>
      </c>
      <c r="S15" s="57" t="n">
        <v>1617.3</v>
      </c>
      <c r="T15" s="58">
        <f>(S15*R15)</f>
        <v/>
      </c>
    </row>
    <row r="16">
      <c r="B16" s="24" t="n">
        <v>-0.008</v>
      </c>
      <c r="C16" s="56" t="n">
        <v>2027.47</v>
      </c>
      <c r="D16" s="58">
        <f>B16*C16</f>
        <v/>
      </c>
      <c r="N16">
        <f>($B$36/5)</f>
        <v/>
      </c>
      <c r="O16" s="57">
        <f>($S$19*[1]Params!K17)</f>
        <v/>
      </c>
      <c r="P16" s="58">
        <f>(O16*N16)</f>
        <v/>
      </c>
      <c r="R16" s="24">
        <f>(SUM(B26:B33))</f>
        <v/>
      </c>
      <c r="S16" s="56" t="n">
        <v>0</v>
      </c>
      <c r="T16" s="58">
        <f>(SUM(D26:D33))</f>
        <v/>
      </c>
    </row>
    <row r="17">
      <c r="B17" s="24" t="n">
        <v>-0.008200000000000001</v>
      </c>
      <c r="C17" s="56" t="n">
        <v>1961</v>
      </c>
      <c r="D17" s="58">
        <f>B17*C17</f>
        <v/>
      </c>
      <c r="N17">
        <f>($B$36/5)</f>
        <v/>
      </c>
      <c r="O17" s="57">
        <f>($S$19*[1]Params!K18)</f>
        <v/>
      </c>
      <c r="P17" s="58">
        <f>(O17*N17)</f>
        <v/>
      </c>
      <c r="R17" s="24">
        <f>(B34)</f>
        <v/>
      </c>
      <c r="S17" s="56">
        <f>(T17/R17)</f>
        <v/>
      </c>
      <c r="T17" s="58" t="n">
        <v>-12.19326523</v>
      </c>
    </row>
    <row r="18">
      <c r="B18" s="24" t="n">
        <v>0.016</v>
      </c>
      <c r="C18" s="57">
        <f>1/0.00048218</f>
        <v/>
      </c>
      <c r="D18" s="58">
        <f>B18*C18</f>
        <v/>
      </c>
      <c r="R18" s="24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58">
        <f>B19*C19</f>
        <v/>
      </c>
      <c r="P19" s="58">
        <f>(SUM(P14:P17))</f>
        <v/>
      </c>
      <c r="R19" s="24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58" t="n">
        <v>50</v>
      </c>
      <c r="R20" s="24">
        <f>(B37)</f>
        <v/>
      </c>
      <c r="S20" s="57">
        <f>(C37)</f>
        <v/>
      </c>
      <c r="T20" s="58">
        <f>(D37)</f>
        <v/>
      </c>
    </row>
    <row r="21">
      <c r="B21" s="24" t="n">
        <v>0.01</v>
      </c>
      <c r="C21" s="57" t="n">
        <v>1895</v>
      </c>
      <c r="D21" s="58">
        <f>B21*C21</f>
        <v/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58">
        <f>B22*C22</f>
        <v/>
      </c>
      <c r="M22" t="inlineStr">
        <is>
          <t>Objectif</t>
        </is>
      </c>
      <c r="N22" s="24">
        <f>($R$20/5)</f>
        <v/>
      </c>
      <c r="O22" s="57">
        <f>($S$20*[1]Params!K15)</f>
        <v/>
      </c>
      <c r="P22" s="58">
        <f>(O22*N22)</f>
        <v/>
      </c>
      <c r="R22" s="24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58">
        <f>82.1</f>
        <v/>
      </c>
      <c r="N23" s="24">
        <f>($R$20/5)</f>
        <v/>
      </c>
      <c r="O23" s="57">
        <f>($S$20*[1]Params!K16)</f>
        <v/>
      </c>
      <c r="P23" s="58">
        <f>(O23*N23)</f>
        <v/>
      </c>
      <c r="R23" s="24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58">
        <f>C24*B24</f>
        <v/>
      </c>
      <c r="N24" s="24">
        <f>($R$20/5)</f>
        <v/>
      </c>
      <c r="O24" s="57">
        <f>($S$20*[1]Params!K17)</f>
        <v/>
      </c>
      <c r="P24" s="58">
        <f>(O24*N24)</f>
        <v/>
      </c>
      <c r="R24" s="24">
        <f>B41</f>
        <v/>
      </c>
      <c r="S24" s="57">
        <f>(T24/R24)</f>
        <v/>
      </c>
      <c r="T24" s="58">
        <f>D41</f>
        <v/>
      </c>
    </row>
    <row r="25">
      <c r="B25" s="24" t="n">
        <v>0.01</v>
      </c>
      <c r="C25" s="57" t="n">
        <v>1617.3</v>
      </c>
      <c r="D25" s="58">
        <f>(C25*B25)</f>
        <v/>
      </c>
      <c r="N25" s="24">
        <f>($R$20/5)</f>
        <v/>
      </c>
      <c r="O25" s="57">
        <f>($S$20*[1]Params!K18)</f>
        <v/>
      </c>
      <c r="P25" s="58">
        <f>(O25*N25)</f>
        <v/>
      </c>
    </row>
    <row r="26">
      <c r="B26" s="24" t="n">
        <v>-0.01</v>
      </c>
      <c r="C26" s="56" t="n">
        <v>1530</v>
      </c>
      <c r="D26" s="58">
        <f>(C26*B26)</f>
        <v/>
      </c>
    </row>
    <row r="27">
      <c r="B27" s="24" t="n">
        <v>0.01</v>
      </c>
      <c r="C27" s="57" t="n">
        <v>1500</v>
      </c>
      <c r="D27" s="58">
        <f>(C27*B27)</f>
        <v/>
      </c>
      <c r="P27" s="58">
        <f>(SUM(P22:P25))</f>
        <v/>
      </c>
    </row>
    <row r="28">
      <c r="B28" s="24" t="n">
        <v>-0.01</v>
      </c>
      <c r="C28" s="56">
        <f>(D28/B28)</f>
        <v/>
      </c>
      <c r="D28" s="58" t="n">
        <v>-14.43</v>
      </c>
    </row>
    <row r="29">
      <c r="B29" s="24" t="n">
        <v>0.01</v>
      </c>
      <c r="C29" s="57" t="n">
        <v>1428.89</v>
      </c>
      <c r="D29" s="58">
        <f>(C29*B29)</f>
        <v/>
      </c>
      <c r="M29" t="inlineStr">
        <is>
          <t>DCA3</t>
        </is>
      </c>
      <c r="N29" t="inlineStr">
        <is>
          <t>Qty to Buy</t>
        </is>
      </c>
      <c r="O29" t="inlineStr">
        <is>
          <t>Token Price</t>
        </is>
      </c>
      <c r="P29" t="inlineStr">
        <is>
          <t>Value</t>
        </is>
      </c>
    </row>
    <row r="30">
      <c r="B30" s="24" t="n">
        <v>-0.01</v>
      </c>
      <c r="C30" s="56" t="n">
        <v>1402.5</v>
      </c>
      <c r="D30" s="58">
        <f>(C30*B30)</f>
        <v/>
      </c>
      <c r="M30" t="inlineStr">
        <is>
          <t>Objectif</t>
        </is>
      </c>
      <c r="N30">
        <f>($R$23/5)</f>
        <v/>
      </c>
      <c r="O30" s="57">
        <f>($S$23*[1]Params!K15)</f>
        <v/>
      </c>
      <c r="P30" s="58">
        <f>(O30*N30)</f>
        <v/>
      </c>
    </row>
    <row r="31">
      <c r="B31" s="24" t="n">
        <v>0.01</v>
      </c>
      <c r="C31" s="57" t="n">
        <v>1372</v>
      </c>
      <c r="D31" s="58">
        <f>(C31*B31)</f>
        <v/>
      </c>
      <c r="N31">
        <f>($R$23/5)</f>
        <v/>
      </c>
      <c r="O31" s="57">
        <f>($S$23*[1]Params!K16)</f>
        <v/>
      </c>
      <c r="P31" s="58">
        <f>(O31*N31)</f>
        <v/>
      </c>
    </row>
    <row r="32">
      <c r="B32" s="24" t="n">
        <v>-0.01</v>
      </c>
      <c r="C32" s="56" t="n">
        <v>1286.66</v>
      </c>
      <c r="D32" s="58">
        <f>(C32*B32)</f>
        <v/>
      </c>
      <c r="N32">
        <f>($R$23/5)</f>
        <v/>
      </c>
      <c r="O32" s="57">
        <f>($S$23*[1]Params!K17)</f>
        <v/>
      </c>
      <c r="P32" s="58">
        <f>(O32*N32)</f>
        <v/>
      </c>
      <c r="R32">
        <f>(SUM(R5:R31))</f>
        <v/>
      </c>
      <c r="T32" s="58">
        <f>(SUM(T5:T31))</f>
        <v/>
      </c>
    </row>
    <row r="33">
      <c r="B33" s="24" t="n">
        <v>0.01</v>
      </c>
      <c r="C33" s="57" t="n">
        <v>1250</v>
      </c>
      <c r="D33" s="58">
        <f>(C33*B33)</f>
        <v/>
      </c>
      <c r="N33">
        <f>($R$23/5)</f>
        <v/>
      </c>
      <c r="O33" s="57">
        <f>($S$23*[1]Params!K18)</f>
        <v/>
      </c>
      <c r="P33" s="58">
        <f>(O33*N33)</f>
        <v/>
      </c>
    </row>
    <row r="34">
      <c r="B34" s="24" t="n">
        <v>-0.01</v>
      </c>
      <c r="C34" s="56">
        <f>(D34/B34)</f>
        <v/>
      </c>
      <c r="D34" s="58" t="n">
        <v>-12.19326523</v>
      </c>
    </row>
    <row r="35">
      <c r="B35" s="24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P35" s="58">
        <f>(SUM(P30:P33))</f>
        <v/>
      </c>
    </row>
    <row r="36">
      <c r="B36" s="24" t="n">
        <v>0.02350642</v>
      </c>
      <c r="C36" s="57">
        <f>(D36/B36)</f>
        <v/>
      </c>
      <c r="D36" s="58" t="n">
        <v>40.3</v>
      </c>
      <c r="E36" t="inlineStr">
        <is>
          <t>DCA2</t>
        </is>
      </c>
    </row>
    <row r="37">
      <c r="B37" s="24" t="n">
        <v>0.00041228</v>
      </c>
      <c r="C37" s="57">
        <f>(D37/B37)</f>
        <v/>
      </c>
      <c r="D37" s="58" t="n">
        <v>0.5</v>
      </c>
    </row>
    <row r="38">
      <c r="B38" s="24">
        <f>(-0.000705)</f>
        <v/>
      </c>
      <c r="C38" s="56" t="n">
        <v>1605</v>
      </c>
      <c r="D38" s="58">
        <f>(C38*B38)</f>
        <v/>
      </c>
    </row>
    <row r="39">
      <c r="B39" s="24">
        <f>(-0.00535-B38)</f>
        <v/>
      </c>
      <c r="C39" s="56" t="n">
        <v>1605</v>
      </c>
      <c r="D39" s="58">
        <f>(C39*B39)</f>
        <v/>
      </c>
    </row>
    <row r="40">
      <c r="B40" s="24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24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G42 O3 O7:O9 O15:O17 O22:O25 O30:O33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0.19014250284005</v>
      </c>
      <c r="M3" t="inlineStr">
        <is>
          <t>Objectif :</t>
        </is>
      </c>
      <c r="N3" s="24">
        <f>(INDEX(N5:N23,MATCH(MAX(O6),O5:O23,0))/0.85)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2" t="n">
        <v>0.56763593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-12.028</v>
      </c>
      <c r="C7" s="56">
        <f>(D7/B7)</f>
        <v/>
      </c>
      <c r="D7" s="56" t="n">
        <v>-2.549936</v>
      </c>
      <c r="N7" s="66">
        <f>2*($B$14-$B$11)/5-N6</f>
        <v/>
      </c>
      <c r="O7" s="56">
        <f>($C$5*[1]Params!K9)</f>
        <v/>
      </c>
      <c r="P7" s="56">
        <f>(O7*N7)</f>
        <v/>
      </c>
      <c r="R7" s="66">
        <f>SUM(B7:B10)</f>
        <v/>
      </c>
      <c r="S7" s="56" t="n">
        <v>0</v>
      </c>
      <c r="T7" s="56">
        <f>SUM(D7:D10)</f>
        <v/>
      </c>
      <c r="U7" s="57" t="n"/>
    </row>
    <row r="8">
      <c r="B8" s="66" t="n">
        <v>-12</v>
      </c>
      <c r="C8" s="56">
        <f>(D8/B8)</f>
        <v/>
      </c>
      <c r="D8" s="56" t="n">
        <v>-3.06</v>
      </c>
      <c r="N8" s="66">
        <f>($B$14-$B$11)/5</f>
        <v/>
      </c>
      <c r="O8" s="56">
        <f>($C$5*[1]Params!K10)</f>
        <v/>
      </c>
      <c r="P8" s="56">
        <f>(O8*N8)</f>
        <v/>
      </c>
      <c r="R8" s="66">
        <f>B11</f>
        <v/>
      </c>
      <c r="S8" s="56">
        <f>(T8/R8)</f>
        <v/>
      </c>
      <c r="T8" s="56">
        <f>D11</f>
        <v/>
      </c>
    </row>
    <row r="9">
      <c r="B9" s="66" t="n">
        <v>13.39371616</v>
      </c>
      <c r="C9" s="56">
        <f>(D9/B9)</f>
        <v/>
      </c>
      <c r="D9" s="56" t="n">
        <v>2.8758</v>
      </c>
      <c r="N9" s="66">
        <f>($B$14-$B$11)/5</f>
        <v/>
      </c>
      <c r="O9" s="56">
        <f>($C$5*[1]Params!K11)</f>
        <v/>
      </c>
      <c r="P9" s="56">
        <f>(O9*N9)</f>
        <v/>
      </c>
    </row>
    <row r="10">
      <c r="B10" s="66" t="n">
        <v>13.23709339</v>
      </c>
      <c r="C10" s="56">
        <f>(D10/B10)</f>
        <v/>
      </c>
      <c r="D10" s="56" t="n">
        <v>2.41</v>
      </c>
    </row>
    <row r="11">
      <c r="B11" s="66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1.439262553835509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78" t="n">
        <v>0.58388389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(SUM(R5:R7)/5)</f>
        <v/>
      </c>
      <c r="O6" s="56">
        <f>($C$5*[1]Params!K8)</f>
        <v/>
      </c>
      <c r="P6" s="56">
        <f>(O6*N6)</f>
        <v/>
      </c>
      <c r="R6" s="66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6" t="n">
        <v>-0.2273</v>
      </c>
      <c r="C7" s="56">
        <f>(D7/B7)</f>
        <v/>
      </c>
      <c r="D7" s="56" t="n">
        <v>-1.125135</v>
      </c>
      <c r="N7" s="66">
        <f>(SUM(R5:R7)/5)</f>
        <v/>
      </c>
      <c r="O7" s="56">
        <f>($C$5*[1]Params!K9)</f>
        <v/>
      </c>
      <c r="P7" s="56">
        <f>(O7*N7)</f>
        <v/>
      </c>
      <c r="R7" s="66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6" t="n">
        <v>-0.305</v>
      </c>
      <c r="C8" s="56">
        <f>(D8/B8)</f>
        <v/>
      </c>
      <c r="D8" s="56" t="n">
        <v>-1.91101378</v>
      </c>
      <c r="N8" s="66">
        <f>(SUM(R5:R7)/5)</f>
        <v/>
      </c>
      <c r="O8" s="56">
        <f>($C$5*[1]Params!K10)</f>
        <v/>
      </c>
      <c r="P8" s="56">
        <f>(O8*N8)</f>
        <v/>
      </c>
    </row>
    <row r="9">
      <c r="B9" s="66" t="n">
        <v>0.34203371</v>
      </c>
      <c r="C9" s="56">
        <f>(D9/B9)</f>
        <v/>
      </c>
      <c r="D9" s="56" t="n">
        <v>1.8</v>
      </c>
      <c r="N9" s="66">
        <f>(SUM(R5:R7)/5)</f>
        <v/>
      </c>
      <c r="O9" s="56">
        <f>($C$5*[1]Params!K11)</f>
        <v/>
      </c>
      <c r="P9" s="56">
        <f>(O9*N9)</f>
        <v/>
      </c>
    </row>
    <row r="10">
      <c r="B10" s="66" t="n">
        <v>0.25620803</v>
      </c>
      <c r="C10" s="56">
        <f>(D10/B10)</f>
        <v/>
      </c>
      <c r="D10" s="56" t="n">
        <v>1.06</v>
      </c>
    </row>
    <row r="11">
      <c r="B11" s="66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6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  <c r="R14" s="66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6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9.794725373581475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6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6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78" t="n">
        <v>0.0271576</v>
      </c>
      <c r="C7" s="59" t="n">
        <v>0</v>
      </c>
      <c r="D7" s="60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34.82106181907231</v>
      </c>
      <c r="M3" t="inlineStr">
        <is>
          <t>Objectif :</t>
        </is>
      </c>
      <c r="N3" s="24">
        <f>(INDEX(N5:N23,MATCH(MAX(O20:O22,O6:O8),O5:O23,0))/0.85)</f>
        <v/>
      </c>
      <c r="O3" s="57">
        <f>(MAX(O20:O22,O6:O8)*0.75)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25" t="n">
        <v>0.01627518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24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24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4*($B$5+$R$7+R5)/5-N6-N7-N8</f>
        <v/>
      </c>
      <c r="O9" s="56">
        <f>($S$6*[1]Params!K11)</f>
        <v/>
      </c>
      <c r="P9" s="56">
        <f>(O9*N9)</f>
        <v/>
      </c>
      <c r="R9" s="24">
        <f>B12-B12</f>
        <v/>
      </c>
      <c r="S9" s="57" t="n">
        <v>0</v>
      </c>
      <c r="T9" s="57">
        <f>D12-B12*14.31</f>
        <v/>
      </c>
    </row>
    <row r="10">
      <c r="B10" s="24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24">
        <f>B13-B13</f>
        <v/>
      </c>
      <c r="S10" s="57" t="n">
        <v>0</v>
      </c>
      <c r="T10" s="57">
        <f>D13-B13*15.13</f>
        <v/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  <c r="R11" s="24">
        <f>B14-B14</f>
        <v/>
      </c>
      <c r="S11" s="57" t="n">
        <v>0</v>
      </c>
      <c r="T11" s="57">
        <f>D14-B14*14.31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  <c r="R12" s="24">
        <f>B15-B15</f>
        <v/>
      </c>
      <c r="S12" s="57" t="n">
        <v>0</v>
      </c>
      <c r="T12" s="57">
        <f>D15-B15*15.13</f>
        <v/>
      </c>
    </row>
    <row r="13">
      <c r="B13" s="24" t="n">
        <v>-0.4967</v>
      </c>
      <c r="C13" s="56">
        <f>(D13/B13)</f>
        <v/>
      </c>
      <c r="D13" s="56" t="n">
        <v>-10.84507767</v>
      </c>
      <c r="P13" s="56" t="n"/>
      <c r="R13" s="24">
        <f>B16-B16</f>
        <v/>
      </c>
      <c r="S13" s="57" t="n">
        <v>0</v>
      </c>
      <c r="T13" s="57">
        <f>D16-B16*14.31</f>
        <v/>
      </c>
    </row>
    <row r="14">
      <c r="B14" s="24" t="n">
        <v>-0.137</v>
      </c>
      <c r="C14" s="56">
        <f>(D14/B14)</f>
        <v/>
      </c>
      <c r="D14" s="56">
        <f>-3.12512811</f>
        <v/>
      </c>
      <c r="P14" s="56" t="n"/>
      <c r="R14" s="24">
        <f>B17-B17</f>
        <v/>
      </c>
      <c r="T14" s="57">
        <f>D17-B17*15.25</f>
        <v/>
      </c>
    </row>
    <row r="15">
      <c r="B15" s="24" t="n">
        <v>-0.4967</v>
      </c>
      <c r="C15" s="56">
        <f>(D15/B15)</f>
        <v/>
      </c>
      <c r="D15" s="56" t="n">
        <v>-12.12691623</v>
      </c>
      <c r="P15" s="56" t="n"/>
    </row>
    <row r="16">
      <c r="B16" s="24" t="n">
        <v>-0.138</v>
      </c>
      <c r="C16" s="56">
        <f>(D16/B16)</f>
        <v/>
      </c>
      <c r="D16" s="56" t="n">
        <v>-4.41956614</v>
      </c>
      <c r="P16" s="56" t="n"/>
    </row>
    <row r="17">
      <c r="B17" s="24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24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6">
        <f>(SUM(T5:T18))</f>
        <v/>
      </c>
    </row>
    <row r="20">
      <c r="M20" t="inlineStr">
        <is>
          <t>Objectif</t>
        </is>
      </c>
      <c r="N20" s="24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24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24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24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79" t="n">
        <v>0.003658117756850448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79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79">
        <f>(T5/R5)</f>
        <v/>
      </c>
      <c r="T5" s="57">
        <f>(D5)</f>
        <v/>
      </c>
    </row>
    <row r="6">
      <c r="B6" s="19" t="n">
        <v>-170.21276596</v>
      </c>
      <c r="C6" s="79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79">
        <f>($C$5*[1]Params!K8)</f>
        <v/>
      </c>
      <c r="P6" s="56">
        <f>(O6*N6)</f>
        <v/>
      </c>
      <c r="R6" s="19">
        <f>(SUM(B6:B11))</f>
        <v/>
      </c>
      <c r="S6" s="79" t="n">
        <v>0</v>
      </c>
      <c r="T6" s="57">
        <f>(SUM(D6:D11))</f>
        <v/>
      </c>
    </row>
    <row r="7">
      <c r="B7" s="19" t="n">
        <v>-175.57251908</v>
      </c>
      <c r="C7" s="79">
        <f>(D7/B7)</f>
        <v/>
      </c>
      <c r="D7" s="56" t="n">
        <v>-0.893567</v>
      </c>
      <c r="N7" s="19">
        <f>(($B$5+$R$6)/5)</f>
        <v/>
      </c>
      <c r="O7" s="79">
        <f>($C$5*[1]Params!K9)</f>
        <v/>
      </c>
      <c r="P7" s="56">
        <f>(O7*N7)</f>
        <v/>
      </c>
      <c r="S7" s="79" t="n"/>
    </row>
    <row r="8">
      <c r="B8" s="19" t="n">
        <v>-167.7852349</v>
      </c>
      <c r="C8" s="79">
        <f>(D8/B8)</f>
        <v/>
      </c>
      <c r="D8" s="56" t="n">
        <v>-1.213721</v>
      </c>
      <c r="N8" s="19">
        <f>(($B$5+$R$6)/5)</f>
        <v/>
      </c>
      <c r="O8" s="79">
        <f>($C$5*[1]Params!K10)</f>
        <v/>
      </c>
      <c r="P8" s="56">
        <f>(O8*N8)</f>
        <v/>
      </c>
    </row>
    <row r="9">
      <c r="B9" s="19" t="n">
        <v>196.03891277</v>
      </c>
      <c r="C9" s="79">
        <f>(D9/B9)</f>
        <v/>
      </c>
      <c r="D9" s="56" t="n">
        <v>1.130011</v>
      </c>
      <c r="N9" s="19">
        <f>(($B$5+$R$6)/5)</f>
        <v/>
      </c>
      <c r="O9" s="79">
        <f>($C$5*[1]Params!K11)</f>
        <v/>
      </c>
      <c r="P9" s="56">
        <f>(O9*N9)</f>
        <v/>
      </c>
    </row>
    <row r="10">
      <c r="B10" s="19" t="n">
        <v>197.79050008</v>
      </c>
      <c r="C10" s="79">
        <f>(D10/B10)</f>
        <v/>
      </c>
      <c r="D10" s="56" t="n">
        <v>0.85006</v>
      </c>
    </row>
    <row r="11">
      <c r="B11" s="19" t="n">
        <v>191.37734579</v>
      </c>
      <c r="C11" s="79">
        <f>(D11/B11)</f>
        <v/>
      </c>
      <c r="D11" s="56" t="n">
        <v>0.737757</v>
      </c>
    </row>
    <row r="12">
      <c r="F12" t="inlineStr">
        <is>
          <t>Moy</t>
        </is>
      </c>
      <c r="G12" s="79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306.4322432721272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0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0">
        <f>(B5+B13+B9)</f>
        <v/>
      </c>
      <c r="S5" s="56">
        <f>(T5/R5)</f>
        <v/>
      </c>
      <c r="T5" s="56">
        <f>(D5+D13+D9)</f>
        <v/>
      </c>
    </row>
    <row r="6">
      <c r="B6" s="80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($S$8*[1]Params!K8)</f>
        <v/>
      </c>
      <c r="P6" s="56">
        <f>(O6*N6)</f>
        <v/>
      </c>
      <c r="R6" s="80">
        <f>(B6)</f>
        <v/>
      </c>
      <c r="S6" s="56">
        <f>(C6)</f>
        <v/>
      </c>
      <c r="T6" s="56">
        <f>(R6*S6)</f>
        <v/>
      </c>
    </row>
    <row r="7">
      <c r="B7" s="80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6">
        <f>($S$8*[1]Params!K9)</f>
        <v/>
      </c>
      <c r="P7" s="56">
        <f>(O7*N7)</f>
        <v/>
      </c>
      <c r="R7" s="80">
        <f>(B7+B8+B10)</f>
        <v/>
      </c>
      <c r="S7" s="56">
        <f>(C7)</f>
        <v/>
      </c>
      <c r="T7" s="56">
        <f>(R7*S7)</f>
        <v/>
      </c>
    </row>
    <row r="8">
      <c r="B8" s="80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0">
        <f>(J7-B17)</f>
        <v/>
      </c>
      <c r="N8" s="24">
        <f>($R$8/5)</f>
        <v/>
      </c>
      <c r="O8" s="56">
        <f>($S$8*[1]Params!K10)</f>
        <v/>
      </c>
      <c r="P8" s="56">
        <f>(O8*N8)</f>
        <v/>
      </c>
      <c r="R8" s="80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0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1">
        <f>(J8*J3)</f>
        <v/>
      </c>
      <c r="N9" s="24">
        <f>($R$8/5)</f>
        <v/>
      </c>
      <c r="O9" s="56">
        <f>($S$8*[1]Params!K11)</f>
        <v/>
      </c>
      <c r="P9" s="56">
        <f>(O9*N9)</f>
        <v/>
      </c>
      <c r="R9" s="80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1" t="n">
        <v>0.00241548</v>
      </c>
      <c r="C10" s="59" t="n">
        <v>0</v>
      </c>
      <c r="D10" s="60" t="n">
        <v>0</v>
      </c>
      <c r="E10" s="56">
        <f>(B10*J3)</f>
        <v/>
      </c>
      <c r="P10" s="56" t="n"/>
      <c r="R10" s="80">
        <f>B14+B15</f>
        <v/>
      </c>
      <c r="S10" s="56" t="n">
        <v>0</v>
      </c>
      <c r="T10" s="57">
        <f>D14+D15</f>
        <v/>
      </c>
    </row>
    <row r="11">
      <c r="B11" s="80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0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0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0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($S$9*[1]Params!K8)</f>
        <v/>
      </c>
      <c r="P14" s="56">
        <f>(O14*N14)</f>
        <v/>
      </c>
    </row>
    <row r="15">
      <c r="B15" s="80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($S$9*[1]Params!K9)</f>
        <v/>
      </c>
      <c r="P15" s="56">
        <f>(O15*N15)</f>
        <v/>
      </c>
    </row>
    <row r="16">
      <c r="N16" s="24">
        <f>($R$9/5)</f>
        <v/>
      </c>
      <c r="O16" s="56">
        <f>($S$9*[1]Params!K10)</f>
        <v/>
      </c>
      <c r="P16" s="56">
        <f>(O16*N16)</f>
        <v/>
      </c>
    </row>
    <row r="17">
      <c r="B17" s="80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24" t="n"/>
      <c r="O22" s="56" t="n"/>
      <c r="P22" s="56" t="n"/>
    </row>
    <row r="23">
      <c r="N23" s="24" t="n"/>
      <c r="O23" s="56" t="n"/>
      <c r="P23" s="56" t="n"/>
    </row>
    <row r="24">
      <c r="N24" s="24" t="n"/>
      <c r="O24" s="56" t="n"/>
      <c r="P24" s="56" t="n"/>
    </row>
    <row r="25">
      <c r="N25" s="24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0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2" t="n">
        <v>0.08017214874345201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6" t="n">
        <v>61.11911839</v>
      </c>
      <c r="C5" s="7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0.28059597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($B$13/5)</f>
        <v/>
      </c>
      <c r="O6" s="56">
        <f>($C$5*[1]Params!K8)</f>
        <v/>
      </c>
      <c r="P6" s="56">
        <f>(O6*N6)</f>
        <v/>
      </c>
    </row>
    <row r="7">
      <c r="N7" s="66">
        <f>($B$13/5)</f>
        <v/>
      </c>
      <c r="O7" s="56">
        <f>($C$5*[1]Params!K9)</f>
        <v/>
      </c>
      <c r="P7" s="56">
        <f>(O7*N7)</f>
        <v/>
      </c>
    </row>
    <row r="8">
      <c r="N8" s="66">
        <f>($B$13/5)</f>
        <v/>
      </c>
      <c r="O8" s="56">
        <f>($C$5*[1]Params!K10)</f>
        <v/>
      </c>
      <c r="P8" s="56">
        <f>(O8*N8)</f>
        <v/>
      </c>
    </row>
    <row r="9">
      <c r="N9" s="66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6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7.208398721355755</v>
      </c>
      <c r="M3" t="inlineStr">
        <is>
          <t>Objectif :</t>
        </is>
      </c>
      <c r="N3" s="24">
        <f>(INDEX(N5:N17,MATCH(MAX(O6),O5:O17,0))/0.85)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>
        <f>(R5*J3)</f>
        <v/>
      </c>
    </row>
    <row r="6">
      <c r="B6" s="25" t="n">
        <v>0.07431524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24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2*($B$15+$N$6)/5-$N$6</f>
        <v/>
      </c>
      <c r="O7" s="56">
        <f>($C$5*[1]Params!K9)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(-0.2134+N16)</f>
        <v/>
      </c>
      <c r="C8" s="56">
        <f>(D8/B8)</f>
        <v/>
      </c>
      <c r="D8" s="56">
        <f>(-1.27565659-D9)</f>
        <v/>
      </c>
      <c r="N8" s="24">
        <f>2*($B$15+$N$6)/5-$N$6</f>
        <v/>
      </c>
      <c r="O8" s="56">
        <f>($C$5*[1]Params!K10)</f>
        <v/>
      </c>
      <c r="P8" s="56">
        <f>(O8*N8)</f>
        <v/>
      </c>
      <c r="R8" s="24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2*($B$15+$N$6)/5-$N$6</f>
        <v/>
      </c>
      <c r="O9" s="56">
        <f>($C$5*[1]Params!K11)</f>
        <v/>
      </c>
      <c r="P9" s="56">
        <f>(O9*N9)</f>
        <v/>
      </c>
      <c r="R9" s="24">
        <f>B11-B11</f>
        <v/>
      </c>
      <c r="S9" s="56" t="n">
        <v>0</v>
      </c>
      <c r="T9" s="57">
        <f>D11-B11*5.54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  <c r="R10" s="24" t="n"/>
      <c r="S10" s="56" t="n"/>
      <c r="T10" s="57" t="n"/>
    </row>
    <row r="11">
      <c r="B11" s="24" t="n">
        <v>-1.3731</v>
      </c>
      <c r="C11" s="56">
        <f>(D11/B11)</f>
        <v/>
      </c>
      <c r="D11" s="56">
        <f>-9.89434222</f>
        <v/>
      </c>
      <c r="N11" s="24" t="n"/>
      <c r="P11" s="56" t="n"/>
    </row>
    <row r="12">
      <c r="B12" s="24" t="n">
        <v>-1.53</v>
      </c>
      <c r="C12" s="56">
        <f>(D12/B12)</f>
        <v/>
      </c>
      <c r="D12" s="56" t="n">
        <v>-13.78562829</v>
      </c>
      <c r="N12" s="24" t="n"/>
      <c r="P12" s="56">
        <f>(SUM(P6:P9))</f>
        <v/>
      </c>
    </row>
    <row r="13">
      <c r="B13" s="24" t="n">
        <v>1.7</v>
      </c>
      <c r="C13" s="56">
        <f>(D13/B13)</f>
        <v/>
      </c>
      <c r="D13" s="56" t="n">
        <v>12.6519626</v>
      </c>
      <c r="N13" s="24" t="n"/>
      <c r="P13" s="56" t="n"/>
    </row>
    <row r="14">
      <c r="F14" t="inlineStr">
        <is>
          <t>Moy</t>
        </is>
      </c>
      <c r="G14" s="56">
        <f>(D15/B15)</f>
        <v/>
      </c>
      <c r="N14" s="24" t="n"/>
      <c r="P14" s="56" t="n"/>
      <c r="R14" s="24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N19" s="24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K31" sqref="K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53.95605939037055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5" t="n">
        <v>0.0029477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24">
        <f>2*($B$13-$B$7)/5+$B$7</f>
        <v/>
      </c>
      <c r="O7" s="56">
        <f>($C$5*[1]Params!K9)</f>
        <v/>
      </c>
      <c r="P7" s="56">
        <f>(O7*N7)</f>
        <v/>
      </c>
      <c r="R7" s="1">
        <f>B7</f>
        <v/>
      </c>
      <c r="S7" s="56" t="n">
        <v>0</v>
      </c>
      <c r="T7" s="56">
        <f>(D7)</f>
        <v/>
      </c>
    </row>
    <row r="8">
      <c r="B8" s="24">
        <f>-0.0247</f>
        <v/>
      </c>
      <c r="C8" s="56">
        <f>D8/B8</f>
        <v/>
      </c>
      <c r="D8" s="56" t="n">
        <v>-1.70058209</v>
      </c>
      <c r="N8" s="24">
        <f>2*($B$13-$B$7)/5+$B$7</f>
        <v/>
      </c>
      <c r="O8" s="56">
        <f>($C$5*[1]Params!K10)</f>
        <v/>
      </c>
      <c r="P8" s="56">
        <f>(O8*N8)</f>
        <v/>
      </c>
      <c r="R8" s="1">
        <f>(B8)+B9</f>
        <v/>
      </c>
      <c r="S8" s="56" t="n">
        <v>0</v>
      </c>
      <c r="T8" s="56">
        <f>(D8)+D9</f>
        <v/>
      </c>
    </row>
    <row r="9">
      <c r="B9" s="24">
        <f>0.02974335</f>
        <v/>
      </c>
      <c r="C9" s="56">
        <f>D9/B9</f>
        <v/>
      </c>
      <c r="D9" s="56" t="n">
        <v>1.706456</v>
      </c>
      <c r="N9" s="24">
        <f>2*($B$13-$B$7)/5+$B$7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0.1711584135771922</v>
      </c>
      <c r="M3" t="inlineStr">
        <is>
          <t>Objectif :</t>
        </is>
      </c>
      <c r="N3" s="66">
        <f>(INDEX(N5:N29,MATCH(MAX(O6:O8),O5:O29,0))/0.85)</f>
        <v/>
      </c>
      <c r="O3" s="83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6">
        <f>(D6/B6)</f>
        <v/>
      </c>
      <c r="D6" s="56" t="n">
        <v>-0.983378</v>
      </c>
      <c r="M6" t="inlineStr">
        <is>
          <t>Objectif</t>
        </is>
      </c>
      <c r="N6" s="66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6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6">
        <f>(D7/B7)</f>
        <v/>
      </c>
      <c r="D7" s="56" t="n">
        <v>-1.217268</v>
      </c>
      <c r="N7" s="66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6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6">
        <f>(D8/B8)</f>
        <v/>
      </c>
      <c r="D8" s="56" t="n">
        <v>-1.656203</v>
      </c>
      <c r="N8" s="66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6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6">
        <f>(D9/B9)</f>
        <v/>
      </c>
      <c r="D9" s="56" t="n">
        <v>1.549163</v>
      </c>
      <c r="N9" s="66">
        <f>4*($R$5+$R$7)/5+B12-N7-N6</f>
        <v/>
      </c>
      <c r="O9" s="56">
        <f>($C$5*[1]Params!K11)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6">
        <f>(D10/B10)</f>
        <v/>
      </c>
      <c r="D10" s="56" t="n">
        <v>1.150414</v>
      </c>
      <c r="N10" s="66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76">
        <f>D11/B11</f>
        <v/>
      </c>
      <c r="D11" s="56">
        <f>-1.294159</f>
        <v/>
      </c>
      <c r="N11" s="66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76">
        <f>D12/B12</f>
        <v/>
      </c>
      <c r="D12" s="56" t="n">
        <v>-2.201892</v>
      </c>
      <c r="N12" s="66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topLeftCell="A24" workbookViewId="0">
      <selection activeCell="B30" sqref="B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44126.08165721467</v>
      </c>
      <c r="M3" t="inlineStr">
        <is>
          <t>Objectif :</t>
        </is>
      </c>
      <c r="N3">
        <f>(INDEX((N8:N67),MATCH(O3/0.85,O8:O67,0))/0.9)</f>
        <v/>
      </c>
      <c r="O3" s="57">
        <f>(MAX(O8,O16:O18,O48,O24,O32,O40,O56,O64)*0.85)</f>
        <v/>
      </c>
      <c r="P3" s="6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S5" s="24">
        <f>(B5)</f>
        <v/>
      </c>
      <c r="T5" s="56" t="n">
        <v>41500</v>
      </c>
      <c r="U5" s="56">
        <f>(S5*T5)</f>
        <v/>
      </c>
    </row>
    <row r="6">
      <c r="B6" s="25" t="n">
        <v>0.00035165</v>
      </c>
      <c r="C6" s="59" t="n">
        <v>0</v>
      </c>
      <c r="D6" s="60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S6" s="24">
        <f>(B6)</f>
        <v/>
      </c>
      <c r="T6" s="56" t="n">
        <v>0</v>
      </c>
      <c r="U6" s="56">
        <f>(S6*T6)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2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6">
        <f>(U7/S7)</f>
        <v/>
      </c>
      <c r="U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1">
        <f>(J7*J3)</f>
        <v/>
      </c>
      <c r="M8" t="inlineStr">
        <is>
          <t>Objectif</t>
        </is>
      </c>
      <c r="N8">
        <f>($B$16/5)</f>
        <v/>
      </c>
      <c r="O8" s="56">
        <f>(C26)</f>
        <v/>
      </c>
      <c r="P8" s="61">
        <f>(O8*N8)</f>
        <v/>
      </c>
      <c r="Q8" t="inlineStr">
        <is>
          <t>Done</t>
        </is>
      </c>
      <c r="S8" s="24">
        <f>(B8)</f>
        <v/>
      </c>
      <c r="T8" s="56">
        <f>(U8/S8)</f>
        <v/>
      </c>
      <c r="U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N9">
        <f>($B$16/5)</f>
        <v/>
      </c>
      <c r="O9" s="56">
        <f>($C$16*[1]Params!K16)</f>
        <v/>
      </c>
      <c r="P9" s="61">
        <f>(O9*N9)</f>
        <v/>
      </c>
      <c r="S9" s="24">
        <f>(B9)</f>
        <v/>
      </c>
      <c r="T9" s="56">
        <f>(U9/S9)</f>
        <v/>
      </c>
      <c r="U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N10">
        <f>($B$16/5)</f>
        <v/>
      </c>
      <c r="O10" s="56">
        <f>($C$16*[1]Params!K17)</f>
        <v/>
      </c>
      <c r="P10" s="61">
        <f>(O10*N10)</f>
        <v/>
      </c>
      <c r="S10" s="24">
        <f>(B10)</f>
        <v/>
      </c>
      <c r="T10" s="56" t="n">
        <v>20458</v>
      </c>
      <c r="U10" s="56">
        <f>(T10*S10)</f>
        <v/>
      </c>
    </row>
    <row r="11">
      <c r="B11" s="24" t="n">
        <v>0.00051</v>
      </c>
      <c r="C11" s="56" t="n">
        <v>19873.31</v>
      </c>
      <c r="D11" s="56">
        <f>(C11*B11)</f>
        <v/>
      </c>
      <c r="N11">
        <f>($B$16/5)</f>
        <v/>
      </c>
      <c r="O11" s="56">
        <f>($C$16*[1]Params!K18)</f>
        <v/>
      </c>
      <c r="P11" s="61">
        <f>(O11*N11)</f>
        <v/>
      </c>
      <c r="S11" s="24">
        <f>(B12)</f>
        <v/>
      </c>
      <c r="T11" s="56" t="n">
        <v>19169.31</v>
      </c>
      <c r="U11" s="56">
        <f>(T11*S11)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S12" s="24">
        <f>(B13+B11+B14)</f>
        <v/>
      </c>
      <c r="T12" s="56">
        <f>(U12/S12)</f>
        <v/>
      </c>
      <c r="U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P13" s="61">
        <f>(SUM(P8:P11))</f>
        <v/>
      </c>
      <c r="S13" s="24">
        <f>(B15)</f>
        <v/>
      </c>
      <c r="T13" s="56" t="n">
        <v>18969</v>
      </c>
      <c r="U13" s="56">
        <f>(T13*S13)</f>
        <v/>
      </c>
    </row>
    <row r="14">
      <c r="B14" s="24" t="n">
        <v>0.00054</v>
      </c>
      <c r="C14" s="56" t="n">
        <v>19000</v>
      </c>
      <c r="D14" s="56">
        <f>(C14*B14)</f>
        <v/>
      </c>
      <c r="S14" s="24">
        <f>(B16+B26)</f>
        <v/>
      </c>
      <c r="T14" s="56">
        <f>(U14/S14)</f>
        <v/>
      </c>
      <c r="U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6">
        <f>(U15/S15)</f>
        <v/>
      </c>
      <c r="U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Objectif</t>
        </is>
      </c>
      <c r="N16">
        <f>($B$17/5)</f>
        <v/>
      </c>
      <c r="O16" s="56">
        <f>(C18)</f>
        <v/>
      </c>
      <c r="P16" s="61">
        <f>(O16*N16)</f>
        <v/>
      </c>
      <c r="Q16" t="inlineStr">
        <is>
          <t>Done</t>
        </is>
      </c>
      <c r="S16" s="24">
        <f>(B19+B27)</f>
        <v/>
      </c>
      <c r="T16" s="56">
        <f>(U16/S16)</f>
        <v/>
      </c>
      <c r="U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N17">
        <f>($B$17/5)</f>
        <v/>
      </c>
      <c r="O17" s="56">
        <f>(C21)</f>
        <v/>
      </c>
      <c r="P17" s="61">
        <f>(O17*N17)</f>
        <v/>
      </c>
      <c r="Q17" t="inlineStr">
        <is>
          <t>Done</t>
        </is>
      </c>
      <c r="S17" s="24">
        <f>(B20+B28)</f>
        <v/>
      </c>
      <c r="T17" s="56">
        <f>(U17/S17)</f>
        <v/>
      </c>
      <c r="U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N18">
        <f>($B$17/5)</f>
        <v/>
      </c>
      <c r="O18" s="56">
        <f>(C33)</f>
        <v/>
      </c>
      <c r="P18" s="61">
        <f>(O18*N18)</f>
        <v/>
      </c>
      <c r="Q18" t="inlineStr">
        <is>
          <t>Done</t>
        </is>
      </c>
      <c r="S18" s="24">
        <f>(B22+B27)</f>
        <v/>
      </c>
      <c r="T18" s="56">
        <f>(U18/S18)</f>
        <v/>
      </c>
      <c r="U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N19">
        <f>($B$17/5)</f>
        <v/>
      </c>
      <c r="O19" s="56">
        <f>($C$17*[1]Params!K18)</f>
        <v/>
      </c>
      <c r="P19" s="61">
        <f>(O19*N19)</f>
        <v/>
      </c>
      <c r="S19" s="24">
        <f>(B23+B32)</f>
        <v/>
      </c>
      <c r="T19" s="56">
        <f>(U19/S19)</f>
        <v/>
      </c>
      <c r="U19" s="56">
        <f>(D23+17438.6*B32)</f>
        <v/>
      </c>
      <c r="V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S20" s="24">
        <f>(B24+B31)</f>
        <v/>
      </c>
      <c r="T20" s="56">
        <f>(U20/S20)</f>
        <v/>
      </c>
      <c r="U20" s="56">
        <f>(D24+17211.7*B31)</f>
        <v/>
      </c>
      <c r="V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P21" s="61">
        <f>(SUM(P16:P19))</f>
        <v/>
      </c>
      <c r="S21" s="24">
        <f>(B25+B30)</f>
        <v/>
      </c>
      <c r="T21" s="56">
        <f>(U21/S21)</f>
        <v/>
      </c>
      <c r="U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S22" s="24">
        <f>(B31-B31)</f>
        <v/>
      </c>
      <c r="T22" s="56" t="n">
        <v>0</v>
      </c>
      <c r="U22" s="56">
        <f>(17211.7*-B31+D31)</f>
        <v/>
      </c>
      <c r="V22" t="inlineStr">
        <is>
          <t>DCA2 1/5</t>
        </is>
      </c>
    </row>
    <row r="23">
      <c r="B23" s="24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6" t="n">
        <v>0</v>
      </c>
      <c r="U23" s="56">
        <f>(17438.6*-B32+D32)</f>
        <v/>
      </c>
      <c r="V23" t="inlineStr">
        <is>
          <t>DCA1 1/5</t>
        </is>
      </c>
    </row>
    <row r="24">
      <c r="B24" s="24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6">
        <f>(C27)</f>
        <v/>
      </c>
      <c r="P24" s="61">
        <f>(O24*N24)</f>
        <v/>
      </c>
      <c r="Q24" t="inlineStr">
        <is>
          <t>Done</t>
        </is>
      </c>
      <c r="S24" s="24">
        <f>(B34)</f>
        <v/>
      </c>
      <c r="T24" s="56">
        <f>(U24/S24)</f>
        <v/>
      </c>
      <c r="U24" s="56">
        <f>(D34)</f>
        <v/>
      </c>
      <c r="V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N25">
        <f>($B$19/5)</f>
        <v/>
      </c>
      <c r="O25" s="56">
        <f>($C$19*[1]Params!K16)</f>
        <v/>
      </c>
      <c r="P25" s="61">
        <f>(O25*N25)</f>
        <v/>
      </c>
    </row>
    <row r="26">
      <c r="B26" s="24" t="n">
        <v>-0.000336</v>
      </c>
      <c r="C26" s="56">
        <f>(D26/B26)</f>
        <v/>
      </c>
      <c r="D26" s="56">
        <f>(-7.04895293)</f>
        <v/>
      </c>
      <c r="N26">
        <f>($B$19/5)</f>
        <v/>
      </c>
      <c r="O26" s="56">
        <f>($C$19*[1]Params!K17)</f>
        <v/>
      </c>
      <c r="P26" s="61">
        <f>(O26*N26)</f>
        <v/>
      </c>
    </row>
    <row r="27">
      <c r="B27" s="24" t="n">
        <v>-0.00012</v>
      </c>
      <c r="C27" s="56" t="n">
        <v>20900</v>
      </c>
      <c r="D27" s="56">
        <f>(C27*B27)</f>
        <v/>
      </c>
      <c r="N27">
        <f>($B$19/5)</f>
        <v/>
      </c>
      <c r="O27" s="56">
        <f>($C$19*[1]Params!K18)</f>
        <v/>
      </c>
      <c r="P27" s="61">
        <f>(O27*N27)</f>
        <v/>
      </c>
    </row>
    <row r="28">
      <c r="B28" s="24" t="n">
        <v>-0.00018</v>
      </c>
      <c r="C28" s="56" t="n">
        <v>21355</v>
      </c>
      <c r="D28" s="56">
        <f>(B28*C28)</f>
        <v/>
      </c>
    </row>
    <row r="29">
      <c r="B29" s="24" t="n">
        <v>-0.00012</v>
      </c>
      <c r="C29" s="56" t="n">
        <v>21355</v>
      </c>
      <c r="D29" s="56">
        <f>(C29*B29)</f>
        <v/>
      </c>
      <c r="P29" s="61">
        <f>(SUM(P24:P27))</f>
        <v/>
      </c>
    </row>
    <row r="30">
      <c r="B30" s="24">
        <f>(-N64)</f>
        <v/>
      </c>
      <c r="C30" s="56" t="n">
        <v>21560</v>
      </c>
      <c r="D30" s="56">
        <f>(C30*B30)</f>
        <v/>
      </c>
    </row>
    <row r="31">
      <c r="B31" s="24">
        <f>(-0.000058-B30)</f>
        <v/>
      </c>
      <c r="C31" s="56" t="n">
        <v>21560</v>
      </c>
      <c r="D31" s="56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7" t="n"/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Objectif</t>
        </is>
      </c>
      <c r="N32">
        <f>($B$20/5)</f>
        <v/>
      </c>
      <c r="O32" s="56">
        <f>(C28)</f>
        <v/>
      </c>
      <c r="P32" s="61">
        <f>(O32*N32)</f>
        <v/>
      </c>
      <c r="Q32" t="inlineStr">
        <is>
          <t>Done</t>
        </is>
      </c>
      <c r="AA32" s="57" t="n"/>
    </row>
    <row r="33">
      <c r="B33" s="24">
        <f>(-0.000184)</f>
        <v/>
      </c>
      <c r="C33" s="56">
        <f>(D33/B33)</f>
        <v/>
      </c>
      <c r="D33" s="56">
        <f>(-4.215072)</f>
        <v/>
      </c>
      <c r="N33">
        <f>($B$20/5)</f>
        <v/>
      </c>
      <c r="O33" s="56">
        <f>($C$20*[1]Params!K16)</f>
        <v/>
      </c>
      <c r="P33" s="61">
        <f>(O33*N33)</f>
        <v/>
      </c>
    </row>
    <row r="34">
      <c r="B34" s="24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N34">
        <f>($B$20/5)</f>
        <v/>
      </c>
      <c r="O34" s="56">
        <f>($C$20*[1]Params!K17)</f>
        <v/>
      </c>
      <c r="P34" s="61">
        <f>(O34*N34)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N35">
        <f>($B$20/5)</f>
        <v/>
      </c>
      <c r="O35" s="56">
        <f>($C$20*[1]Params!K18)</f>
        <v/>
      </c>
      <c r="P35" s="61">
        <f>(O35*N35)</f>
        <v/>
      </c>
    </row>
    <row r="36">
      <c r="B36" s="24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</row>
    <row r="37">
      <c r="F37" t="inlineStr">
        <is>
          <t>Moy</t>
        </is>
      </c>
      <c r="G37" s="57">
        <f>(D38/B38)</f>
        <v/>
      </c>
      <c r="P37" s="61">
        <f>(SUM(P32:P35))</f>
        <v/>
      </c>
      <c r="S37">
        <f>(SUM(S5:S25))</f>
        <v/>
      </c>
      <c r="U37" s="56">
        <f>(SUM(U5:U25))</f>
        <v/>
      </c>
    </row>
    <row r="38">
      <c r="B38">
        <f>(SUM(B5:B37))</f>
        <v/>
      </c>
      <c r="D38" s="56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6">
        <f>(C29)</f>
        <v/>
      </c>
      <c r="P40" s="61">
        <f>(O40*N40)</f>
        <v/>
      </c>
      <c r="Q40" t="inlineStr">
        <is>
          <t>Done</t>
        </is>
      </c>
    </row>
    <row r="41">
      <c r="N41">
        <f>($B$22/5)</f>
        <v/>
      </c>
      <c r="O41" s="56">
        <f>($C$22*[1]Params!K16)</f>
        <v/>
      </c>
      <c r="P41" s="61">
        <f>(O41*N41)</f>
        <v/>
      </c>
    </row>
    <row r="42">
      <c r="N42">
        <f>($B$22/5)</f>
        <v/>
      </c>
      <c r="O42" s="56">
        <f>($C$22*[1]Params!K17)</f>
        <v/>
      </c>
      <c r="P42" s="61">
        <f>(O42*N42)</f>
        <v/>
      </c>
    </row>
    <row r="43">
      <c r="N43">
        <f>($B$22/5)</f>
        <v/>
      </c>
      <c r="O43" s="56">
        <f>($C$22*[1]Params!K18)</f>
        <v/>
      </c>
      <c r="P43" s="61">
        <f>(O43*N43)</f>
        <v/>
      </c>
    </row>
    <row r="44"/>
    <row r="45">
      <c r="P45" s="61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6">
        <f>(C32)</f>
        <v/>
      </c>
      <c r="P48" s="61">
        <f>(O48*N48)</f>
        <v/>
      </c>
      <c r="Q48" t="inlineStr">
        <is>
          <t>Done</t>
        </is>
      </c>
    </row>
    <row r="49">
      <c r="N49">
        <f>(2*($S$19+N48)/5-N48)</f>
        <v/>
      </c>
      <c r="O49" s="56">
        <f>($T$19*[1]Params!K16)</f>
        <v/>
      </c>
      <c r="P49" s="61">
        <f>(O49*N49)</f>
        <v/>
      </c>
    </row>
    <row r="50">
      <c r="N50">
        <f>($B$23/5)</f>
        <v/>
      </c>
      <c r="O50" s="56">
        <f>($T$19*[1]Params!K17)</f>
        <v/>
      </c>
      <c r="P50" s="61">
        <f>(O50*N50)</f>
        <v/>
      </c>
    </row>
    <row r="51">
      <c r="N51">
        <f>($B$23/5)</f>
        <v/>
      </c>
      <c r="O51" s="56">
        <f>($T$19*[1]Params!K18)</f>
        <v/>
      </c>
      <c r="P51" s="61">
        <f>(O51*N51)</f>
        <v/>
      </c>
    </row>
    <row r="52"/>
    <row r="53">
      <c r="P53" s="61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6">
        <f>(C31)</f>
        <v/>
      </c>
      <c r="P56" s="61">
        <f>(O56*N56)</f>
        <v/>
      </c>
      <c r="Q56" t="inlineStr">
        <is>
          <t>Done</t>
        </is>
      </c>
    </row>
    <row r="57">
      <c r="N57">
        <f>(2*($S$20+N56)/5-N56)</f>
        <v/>
      </c>
      <c r="O57" s="56">
        <f>($T$20*[1]Params!K16)</f>
        <v/>
      </c>
      <c r="P57" s="61">
        <f>(O57*N57)</f>
        <v/>
      </c>
    </row>
    <row r="58">
      <c r="N58">
        <f>($B$24/5)</f>
        <v/>
      </c>
      <c r="O58" s="56">
        <f>($T$20*[1]Params!K17)</f>
        <v/>
      </c>
      <c r="P58" s="61">
        <f>(O58*N58)</f>
        <v/>
      </c>
    </row>
    <row r="59">
      <c r="N59">
        <f>($B$24/5)</f>
        <v/>
      </c>
      <c r="O59" s="56">
        <f>($T$20*[1]Params!K18)</f>
        <v/>
      </c>
      <c r="P59" s="61">
        <f>(O59*N59)</f>
        <v/>
      </c>
    </row>
    <row r="60"/>
    <row r="61">
      <c r="P61" s="61">
        <f>(SUM(P56:P59))</f>
        <v/>
      </c>
    </row>
    <row r="62"/>
    <row r="63"/>
    <row r="64">
      <c r="O64" s="56" t="n"/>
      <c r="P64" s="61" t="n"/>
    </row>
    <row r="65">
      <c r="O65" s="56" t="n"/>
      <c r="P65" s="61" t="n"/>
    </row>
    <row r="66">
      <c r="O66" s="56" t="n"/>
      <c r="P66" s="61" t="n"/>
    </row>
    <row r="67">
      <c r="O67" s="56" t="n"/>
      <c r="P67" s="61" t="n"/>
    </row>
    <row r="68"/>
    <row r="69">
      <c r="P69" s="61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6">
        <f>($T$24*[1]Params!K15)</f>
        <v/>
      </c>
      <c r="P72" s="61">
        <f>(O72*N72)</f>
        <v/>
      </c>
    </row>
    <row r="73">
      <c r="N73">
        <f>($S$24/5)</f>
        <v/>
      </c>
      <c r="O73" s="56">
        <f>($T$24*[1]Params!K16)</f>
        <v/>
      </c>
      <c r="P73" s="61">
        <f>(O73*N73)</f>
        <v/>
      </c>
    </row>
    <row r="74">
      <c r="N74">
        <f>($S$24/5)</f>
        <v/>
      </c>
      <c r="O74" s="56">
        <f>($T$24*[1]Params!K17)</f>
        <v/>
      </c>
      <c r="P74" s="61">
        <f>(O74*N74)</f>
        <v/>
      </c>
    </row>
    <row r="75">
      <c r="N75">
        <f>($S$24/5)</f>
        <v/>
      </c>
      <c r="O75" s="56">
        <f>($T$24*[1]Params!K18)</f>
        <v/>
      </c>
      <c r="P75" s="61">
        <f>(O75*N75)</f>
        <v/>
      </c>
    </row>
    <row r="76"/>
    <row r="77">
      <c r="P77" s="61">
        <f>(SUM(P72:P75))</f>
        <v/>
      </c>
    </row>
  </sheetData>
  <conditionalFormatting sqref="C5 C7:C17 C19:C20 C22:C25 C34:C36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11.88650909223545</v>
      </c>
      <c r="M3" t="inlineStr">
        <is>
          <t>Objectif :</t>
        </is>
      </c>
      <c r="N3" s="24">
        <f>(INDEX(N5:N19,MATCH(MAX(O6:O8),O5:O19,0))/0.85)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0.00229989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24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24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24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0.7770409829259629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($C$5*[1]Params!K8)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($C$5*[1]Params!K9)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($C$5*[1]Params!K10)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($C$5*[1]Params!K11)</f>
        <v/>
      </c>
      <c r="P9" s="56">
        <f>(O9*N9)</f>
        <v/>
      </c>
    </row>
    <row r="10">
      <c r="B10" s="66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3.055424459191427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0.01837837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2*($B$10+$N$6)/5-$N$6</f>
        <v/>
      </c>
      <c r="O7" s="56">
        <f>($C$5*[1]Params!K9)</f>
        <v/>
      </c>
      <c r="P7" s="56">
        <f>(O7*N7)</f>
        <v/>
      </c>
    </row>
    <row r="8">
      <c r="N8" s="1">
        <f>2*($B$10+$N$6)/5-$N$6</f>
        <v/>
      </c>
      <c r="O8" s="5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2*($B$10+$N$6)/5-$N$6</f>
        <v/>
      </c>
      <c r="O9" s="56">
        <f>($C$5*[1]Params!K11)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30" sqref="N29:O3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13.54868293657363</v>
      </c>
      <c r="M3" t="inlineStr">
        <is>
          <t>Objectif :</t>
        </is>
      </c>
      <c r="N3" s="24">
        <f>(INDEX(N5:N16,MATCH(MAX(O6:O8),O5:O16,0))/0.9)</f>
        <v/>
      </c>
      <c r="O3" s="57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0.00239393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65.45390746394597</v>
      </c>
      <c r="N3" s="24" t="n"/>
      <c r="O3" s="57" t="n"/>
      <c r="P3" s="7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0.00119995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80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0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0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0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M2" sqref="M2:P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0.6985929566789298</v>
      </c>
      <c r="M3" t="inlineStr">
        <is>
          <t>Objectif :</t>
        </is>
      </c>
      <c r="N3" s="67">
        <f>-B7</f>
        <v/>
      </c>
      <c r="O3" s="64" t="n">
        <v>0</v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0.05647495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 :</t>
        </is>
      </c>
      <c r="N6" s="80">
        <f>B21</f>
        <v/>
      </c>
      <c r="O6" s="64">
        <f>(C21*2)</f>
        <v/>
      </c>
      <c r="P6" s="56">
        <f>(N6*O6)</f>
        <v/>
      </c>
    </row>
    <row r="7">
      <c r="B7" s="80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21" t="n"/>
      <c r="O9" s="64" t="n"/>
      <c r="P9" s="56" t="n"/>
    </row>
    <row r="10">
      <c r="B10" t="n">
        <v>0.31639059</v>
      </c>
      <c r="C10" s="56" t="n">
        <v>0</v>
      </c>
      <c r="D10" s="56">
        <f>(B10*C10)</f>
        <v/>
      </c>
      <c r="O10" s="64" t="n"/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0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M2" sqref="M2:P3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0.0001194379616784706</v>
      </c>
      <c r="M3" t="inlineStr">
        <is>
          <t>Objectif :</t>
        </is>
      </c>
      <c r="N3" s="67">
        <f>400000-B39</f>
        <v/>
      </c>
      <c r="O3" s="64">
        <f>C37/2.8</f>
        <v/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0.2363634506</v>
      </c>
      <c r="C5" s="64" t="n">
        <v>115.55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64" t="n">
        <v>115.55</v>
      </c>
      <c r="T5" s="56">
        <f>(R5*S5)</f>
        <v/>
      </c>
    </row>
    <row r="6">
      <c r="B6" s="66" t="n">
        <v>0.3</v>
      </c>
      <c r="C6" s="64" t="n">
        <v>91.3</v>
      </c>
      <c r="D6" s="56">
        <f>(B6*C6)</f>
        <v/>
      </c>
      <c r="M6" t="inlineStr">
        <is>
          <t>Objectif :</t>
        </is>
      </c>
      <c r="N6">
        <f>(INDEX(B5:B17,MATCH(O6/2,C5:C17,0)))</f>
        <v/>
      </c>
      <c r="O6" s="64">
        <f>(MIN(C5:C8,C14:C16)*2)</f>
        <v/>
      </c>
      <c r="P6" s="56">
        <f>(N6*O6)</f>
        <v/>
      </c>
      <c r="R6" s="66">
        <f>(B6)</f>
        <v/>
      </c>
      <c r="S6" s="64" t="n">
        <v>91.3</v>
      </c>
      <c r="T6" s="56">
        <f>(R6*S6)</f>
        <v/>
      </c>
    </row>
    <row r="7">
      <c r="B7" s="66" t="n">
        <v>2.79041387</v>
      </c>
      <c r="C7" s="64" t="n">
        <v>6.5</v>
      </c>
      <c r="D7" s="56">
        <f>(B7*C7)</f>
        <v/>
      </c>
      <c r="R7" s="66">
        <f>(B7)</f>
        <v/>
      </c>
      <c r="S7" s="64" t="n">
        <v>6.5</v>
      </c>
      <c r="T7" s="56">
        <f>(R7*S7)</f>
        <v/>
      </c>
    </row>
    <row r="8">
      <c r="B8" s="66" t="n">
        <v>722</v>
      </c>
      <c r="C8" s="64">
        <f>(D8/B8)</f>
        <v/>
      </c>
      <c r="D8" s="56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6">
        <f>(B8)</f>
        <v/>
      </c>
      <c r="S8" s="64">
        <f>(T8/R8)</f>
        <v/>
      </c>
      <c r="T8" s="56" t="n">
        <v>15</v>
      </c>
    </row>
    <row r="9">
      <c r="B9" s="66">
        <f>(891400)</f>
        <v/>
      </c>
      <c r="C9" s="64">
        <f>(D9/B9)</f>
        <v/>
      </c>
      <c r="D9" s="56" t="n">
        <v>10</v>
      </c>
      <c r="M9" t="inlineStr">
        <is>
          <t>Objectif :</t>
        </is>
      </c>
      <c r="N9" s="21">
        <f>B39/4</f>
        <v/>
      </c>
      <c r="O9" s="64" t="n">
        <v>0.0005</v>
      </c>
      <c r="P9" s="56">
        <f>(N9*O9)</f>
        <v/>
      </c>
      <c r="R9" s="66">
        <f>(B9)</f>
        <v/>
      </c>
      <c r="S9" s="64">
        <f>(T9/R9)</f>
        <v/>
      </c>
      <c r="T9" s="56" t="n">
        <v>10</v>
      </c>
    </row>
    <row r="10">
      <c r="B10" s="66" t="n">
        <v>-200000</v>
      </c>
      <c r="C10" s="64">
        <f>(D10/B10)</f>
        <v/>
      </c>
      <c r="D10" s="56" t="n">
        <v>-12</v>
      </c>
      <c r="O10" s="64" t="n"/>
      <c r="R10" s="66">
        <f>(B10)</f>
        <v/>
      </c>
      <c r="S10" s="64">
        <f>(T10/R10)</f>
        <v/>
      </c>
      <c r="T10" s="56" t="n">
        <v>-12</v>
      </c>
    </row>
    <row r="11">
      <c r="B11" s="66" t="n">
        <v>-43873</v>
      </c>
      <c r="C11" s="64">
        <f>(D11/B11)</f>
        <v/>
      </c>
      <c r="D11" s="56" t="n">
        <v>-10</v>
      </c>
      <c r="R11" s="66">
        <f>(B11)</f>
        <v/>
      </c>
      <c r="S11" s="64">
        <f>(T11/R11)</f>
        <v/>
      </c>
      <c r="T11" s="56" t="n">
        <v>-10</v>
      </c>
    </row>
    <row r="12">
      <c r="B12" s="66" t="n">
        <v>-20000</v>
      </c>
      <c r="C12" s="64">
        <f>(D12/B12)</f>
        <v/>
      </c>
      <c r="D12" s="56" t="n">
        <v>-10</v>
      </c>
      <c r="R12" s="66">
        <f>(B12)</f>
        <v/>
      </c>
      <c r="S12" s="64">
        <f>(T12/R12)</f>
        <v/>
      </c>
      <c r="T12" s="56" t="n">
        <v>-10</v>
      </c>
    </row>
    <row r="13">
      <c r="B13" s="66" t="n">
        <v>-66800</v>
      </c>
      <c r="C13" s="64">
        <f>(D13/B13)</f>
        <v/>
      </c>
      <c r="D13" s="56" t="n">
        <v>-33.4</v>
      </c>
      <c r="R13" s="66">
        <f>(B13+B14+B15+B16)</f>
        <v/>
      </c>
      <c r="S13" s="64">
        <f>(T13/R13)</f>
        <v/>
      </c>
      <c r="T13" s="56">
        <f>(D13+D15+D14+D16)</f>
        <v/>
      </c>
    </row>
    <row r="14">
      <c r="B14" s="66" t="n">
        <v>22223</v>
      </c>
      <c r="C14" s="64">
        <f>(D14/B14)</f>
        <v/>
      </c>
      <c r="D14" s="56" t="n">
        <v>10.00035</v>
      </c>
      <c r="R14" s="66">
        <f>(B17)</f>
        <v/>
      </c>
      <c r="S14" s="64" t="n">
        <v>0.0001</v>
      </c>
      <c r="T14" s="56">
        <f>(S14*R14)</f>
        <v/>
      </c>
    </row>
    <row r="15">
      <c r="B15" s="66" t="n">
        <v>48000</v>
      </c>
      <c r="C15" s="64">
        <f>(D15/B15)</f>
        <v/>
      </c>
      <c r="D15" s="56" t="n">
        <v>18</v>
      </c>
      <c r="R15" s="66">
        <f>(B18)</f>
        <v/>
      </c>
      <c r="S15" s="64" t="n">
        <v>0</v>
      </c>
      <c r="T15" s="56">
        <f>(R15*S15)</f>
        <v/>
      </c>
    </row>
    <row r="16">
      <c r="B16" s="66" t="n">
        <v>40000</v>
      </c>
      <c r="C16" s="64">
        <f>(D16/B16)</f>
        <v/>
      </c>
      <c r="D16" s="56" t="n">
        <v>10</v>
      </c>
      <c r="R16" s="66">
        <f>(B19)</f>
        <v/>
      </c>
      <c r="S16" s="64" t="n">
        <v>0.0001829</v>
      </c>
      <c r="T16" s="56">
        <f>(S16*R16)</f>
        <v/>
      </c>
    </row>
    <row r="17">
      <c r="B17" s="66" t="n">
        <v>-150000</v>
      </c>
      <c r="C17" s="64" t="n">
        <v>0.0001</v>
      </c>
      <c r="D17" s="56">
        <f>(C17*B17)</f>
        <v/>
      </c>
      <c r="R17" s="66">
        <f>(B20)</f>
        <v/>
      </c>
      <c r="S17" s="64" t="n">
        <v>0.0001828</v>
      </c>
      <c r="T17" s="56">
        <f>(S17*R17)</f>
        <v/>
      </c>
    </row>
    <row r="18">
      <c r="B18" s="78" t="n">
        <v>4886.06547706</v>
      </c>
      <c r="C18" s="59" t="n">
        <v>0</v>
      </c>
      <c r="D18" s="60">
        <f>(B18*C18)</f>
        <v/>
      </c>
      <c r="E18" s="56">
        <f>(B18*J3)</f>
        <v/>
      </c>
      <c r="R18" s="66">
        <f>(B21)</f>
        <v/>
      </c>
      <c r="S18" s="64">
        <f>(T18/R18)</f>
        <v/>
      </c>
      <c r="T18" s="56" t="n">
        <v>-10.875</v>
      </c>
    </row>
    <row r="19">
      <c r="B19" s="66" t="n">
        <v>-60293.19</v>
      </c>
      <c r="C19" s="64" t="n">
        <v>0.0001829</v>
      </c>
      <c r="D19" s="56">
        <f>(C19*B19)</f>
        <v/>
      </c>
      <c r="R19" s="66">
        <f>(B22)</f>
        <v/>
      </c>
      <c r="S19" s="64">
        <f>(T19/R19)</f>
        <v/>
      </c>
      <c r="T19" s="56" t="n">
        <v>-15.777</v>
      </c>
    </row>
    <row r="20">
      <c r="B20" s="66" t="n">
        <v>-41141.35</v>
      </c>
      <c r="C20" s="64" t="n">
        <v>0.0001828</v>
      </c>
      <c r="D20" s="56">
        <f>(C20*B20)</f>
        <v/>
      </c>
      <c r="R20" s="66">
        <f>(B23)</f>
        <v/>
      </c>
      <c r="S20" s="64">
        <f>(T20/R20)</f>
        <v/>
      </c>
      <c r="T20" s="56" t="n">
        <v>-12.7</v>
      </c>
    </row>
    <row r="21">
      <c r="B21" s="66" t="n">
        <v>-26969.34</v>
      </c>
      <c r="C21" s="64">
        <f>(D21/B21)</f>
        <v/>
      </c>
      <c r="D21" s="56" t="n">
        <v>-10.875</v>
      </c>
      <c r="R21" s="66">
        <f>(B24+B25+B26)</f>
        <v/>
      </c>
      <c r="S21" s="64">
        <f>(T21/R21)</f>
        <v/>
      </c>
      <c r="T21" s="56">
        <f>(D24+D25+D26)</f>
        <v/>
      </c>
    </row>
    <row r="22">
      <c r="B22" s="66" t="n">
        <v>-39131.89</v>
      </c>
      <c r="C22" s="64">
        <f>(D22/B22)</f>
        <v/>
      </c>
      <c r="D22" s="56" t="n">
        <v>-15.777</v>
      </c>
      <c r="R22" s="66">
        <f>(B27+B28)</f>
        <v/>
      </c>
      <c r="S22" s="64" t="n">
        <v>0</v>
      </c>
      <c r="T22" s="56">
        <f>(D27+D28)</f>
        <v/>
      </c>
    </row>
    <row r="23">
      <c r="B23" s="66" t="n">
        <v>-31019.52</v>
      </c>
      <c r="C23" s="64">
        <f>(D23/B23)</f>
        <v/>
      </c>
      <c r="D23" s="56" t="n">
        <v>-12.7</v>
      </c>
      <c r="R23" s="66">
        <f>(B29+B30)</f>
        <v/>
      </c>
      <c r="S23" s="64" t="n">
        <v>0</v>
      </c>
      <c r="T23" s="56">
        <f>(D29+D30)</f>
        <v/>
      </c>
    </row>
    <row r="24">
      <c r="B24" s="66" t="n">
        <v>-20035.65</v>
      </c>
      <c r="C24" s="64">
        <f>(D24/B24)</f>
        <v/>
      </c>
      <c r="D24" s="56" t="n">
        <v>-11.12</v>
      </c>
      <c r="R24" s="66">
        <f>(B31+B32)</f>
        <v/>
      </c>
      <c r="S24" s="64" t="n">
        <v>0</v>
      </c>
      <c r="T24" s="56">
        <f>(D31+D32)</f>
        <v/>
      </c>
    </row>
    <row r="25">
      <c r="B25" s="66">
        <f>(15252.99-15.25299)</f>
        <v/>
      </c>
      <c r="C25" s="64" t="n">
        <v>0.00051739</v>
      </c>
      <c r="D25" s="56">
        <f>(B25*C25)</f>
        <v/>
      </c>
      <c r="N25" s="66" t="n"/>
      <c r="R25" s="66">
        <f>(B33+B34+B35)</f>
        <v/>
      </c>
      <c r="S25" s="64" t="n">
        <v>0</v>
      </c>
      <c r="T25" s="56">
        <f>(D33+D34+D35)</f>
        <v/>
      </c>
    </row>
    <row r="26">
      <c r="B26" s="66">
        <f>(4747.01-4.74701)</f>
        <v/>
      </c>
      <c r="C26" s="64" t="n">
        <v>0.00051738</v>
      </c>
      <c r="D26" s="56">
        <f>(B26*C26)</f>
        <v/>
      </c>
      <c r="R26" s="66">
        <f>B36</f>
        <v/>
      </c>
      <c r="S26" s="64">
        <f>T26/R26</f>
        <v/>
      </c>
      <c r="T26" s="57">
        <f>D36</f>
        <v/>
      </c>
    </row>
    <row r="27">
      <c r="B27" s="66" t="n">
        <v>-40000</v>
      </c>
      <c r="C27" s="64">
        <f>(D27/B27)</f>
        <v/>
      </c>
      <c r="D27" s="56" t="n">
        <v>-12.44</v>
      </c>
      <c r="R27" s="66">
        <f>B37</f>
        <v/>
      </c>
      <c r="S27" s="64">
        <f>T27/R27</f>
        <v/>
      </c>
      <c r="T27" s="57">
        <f>D37</f>
        <v/>
      </c>
    </row>
    <row r="28">
      <c r="B28" s="66" t="n">
        <v>40000</v>
      </c>
      <c r="C28" s="64">
        <f>(D28/B28)</f>
        <v/>
      </c>
      <c r="D28" s="56" t="n">
        <v>10</v>
      </c>
    </row>
    <row r="29">
      <c r="B29" s="66" t="n">
        <v>-40000</v>
      </c>
      <c r="C29" s="64">
        <f>(D29/B29)</f>
        <v/>
      </c>
      <c r="D29" s="56" t="n">
        <v>-12.39</v>
      </c>
    </row>
    <row r="30">
      <c r="B30" s="66" t="n">
        <v>44000</v>
      </c>
      <c r="C30" s="64">
        <f>(D30/B30)</f>
        <v/>
      </c>
      <c r="D30" s="56" t="n">
        <v>10.42</v>
      </c>
    </row>
    <row r="31">
      <c r="B31" s="66" t="n">
        <v>-270017.67672339</v>
      </c>
      <c r="C31" s="64">
        <f>(D31/B31)</f>
        <v/>
      </c>
      <c r="D31" s="56" t="n">
        <v>-48.19233598</v>
      </c>
    </row>
    <row r="32">
      <c r="B32" s="66">
        <f>(272743.3*0.99)</f>
        <v/>
      </c>
      <c r="C32" s="64">
        <f>(D32/B32)</f>
        <v/>
      </c>
      <c r="D32" s="56" t="n">
        <v>34.21</v>
      </c>
      <c r="E32" s="57" t="n"/>
    </row>
    <row r="33">
      <c r="B33" s="66" t="n">
        <v>-33998.23</v>
      </c>
      <c r="C33" s="64">
        <f>(D33/B33)</f>
        <v/>
      </c>
      <c r="D33" s="56" t="n">
        <v>-6.45</v>
      </c>
    </row>
    <row r="34">
      <c r="B34" s="66" t="n">
        <v>-20001.77</v>
      </c>
      <c r="C34" s="64">
        <f>(D34/B34)</f>
        <v/>
      </c>
      <c r="D34" s="56" t="n">
        <v>-3.795</v>
      </c>
    </row>
    <row r="35">
      <c r="B35" s="66">
        <f>(62154.32-62.15432)</f>
        <v/>
      </c>
      <c r="C35" s="64">
        <f>(D35/B35)</f>
        <v/>
      </c>
      <c r="D35" s="56" t="n">
        <v>10.1</v>
      </c>
      <c r="E35" s="56" t="n"/>
    </row>
    <row r="36">
      <c r="B36" s="66" t="n">
        <v>-62000</v>
      </c>
      <c r="C36" s="64">
        <f>(D36/B36)</f>
        <v/>
      </c>
      <c r="D36" s="56" t="n">
        <v>-16.02484919</v>
      </c>
      <c r="E36" s="56">
        <f>B36*J3</f>
        <v/>
      </c>
    </row>
    <row r="37">
      <c r="B37" s="66" t="n">
        <v>-150000</v>
      </c>
      <c r="C37" s="64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4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0.8320352973217513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0.32189553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78">
        <f>(B6)</f>
        <v/>
      </c>
      <c r="S6" s="59" t="n">
        <v>0</v>
      </c>
      <c r="T6" s="60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31"/>
    <col width="9.140625" customWidth="1" style="14" min="232" max="16384"/>
  </cols>
  <sheetData>
    <row r="1"/>
    <row r="2"/>
    <row r="3">
      <c r="I3" t="inlineStr">
        <is>
          <t>Actual Price :</t>
        </is>
      </c>
      <c r="J3" s="76" t="n">
        <v>0.0240818697802239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64.74873341</v>
      </c>
      <c r="C5" s="76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0.05625024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($B$10/5)</f>
        <v/>
      </c>
      <c r="O6" s="76">
        <f>($C$5*[1]Params!K8)</f>
        <v/>
      </c>
      <c r="P6" s="56">
        <f>(O6*N6)</f>
        <v/>
      </c>
    </row>
    <row r="7">
      <c r="B7" s="66" t="n"/>
      <c r="C7" s="56" t="n"/>
      <c r="D7" s="58" t="n"/>
      <c r="E7" s="56" t="n"/>
      <c r="N7" s="66">
        <f>($B$10/5)</f>
        <v/>
      </c>
      <c r="O7" s="76">
        <f>($C$5*[1]Params!K9)</f>
        <v/>
      </c>
      <c r="P7" s="56">
        <f>(O7*N7)</f>
        <v/>
      </c>
    </row>
    <row r="8">
      <c r="N8" s="66">
        <f>($B$10/5)</f>
        <v/>
      </c>
      <c r="O8" s="7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6">
        <f>($B$10/5)</f>
        <v/>
      </c>
      <c r="O9" s="76">
        <f>($C$5*[1]Params!K11)</f>
        <v/>
      </c>
      <c r="P9" s="56">
        <f>(O9*N9)</f>
        <v/>
      </c>
    </row>
    <row r="10">
      <c r="B10" s="66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1.128871527761398</v>
      </c>
      <c r="M3" t="inlineStr">
        <is>
          <t>Objectif :</t>
        </is>
      </c>
      <c r="N3" s="24">
        <f>(INDEX(N5:N33,MATCH(MAX(O6:O7),O5:O33,0))/0.85)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(D5)</f>
        <v/>
      </c>
    </row>
    <row r="6">
      <c r="B6" s="78" t="n">
        <v>0.33942654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78" t="n">
        <v>0.33622555</v>
      </c>
      <c r="S6" s="59" t="n">
        <v>0</v>
      </c>
      <c r="T6" s="60">
        <f>(R6*S6)</f>
        <v/>
      </c>
      <c r="U6" s="56">
        <f>(E6)</f>
        <v/>
      </c>
    </row>
    <row r="7">
      <c r="B7" s="66" t="n">
        <v>2.381</v>
      </c>
      <c r="C7" s="56" t="n">
        <v>0</v>
      </c>
      <c r="D7" s="58">
        <f>(B7*C7)</f>
        <v/>
      </c>
      <c r="E7" s="56">
        <f>(B7*J3)</f>
        <v/>
      </c>
      <c r="N7" s="66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6">
        <f>(B7)</f>
        <v/>
      </c>
      <c r="S7" s="56" t="n">
        <v>0</v>
      </c>
      <c r="T7" s="58">
        <f>(D7)</f>
        <v/>
      </c>
    </row>
    <row r="8">
      <c r="B8" s="66" t="n">
        <v>-10.99</v>
      </c>
      <c r="C8" s="57">
        <f>D8/B8</f>
        <v/>
      </c>
      <c r="D8" s="56">
        <f>-12.41601718</f>
        <v/>
      </c>
      <c r="N8" s="66">
        <f>3*($B$13+$N$7+$N$6)/5-N7-N6</f>
        <v/>
      </c>
      <c r="O8" s="56">
        <f>($C$5*[1]Params!K10)</f>
        <v/>
      </c>
      <c r="P8" s="56">
        <f>N8*O8</f>
        <v/>
      </c>
      <c r="R8" s="66">
        <f>B8</f>
        <v/>
      </c>
      <c r="S8" s="56">
        <f>T8/R8</f>
        <v/>
      </c>
      <c r="T8" s="56">
        <f>D8</f>
        <v/>
      </c>
      <c r="V8" s="57" t="n"/>
    </row>
    <row r="9">
      <c r="B9" s="66" t="n">
        <v>-10.99</v>
      </c>
      <c r="C9" s="57">
        <f>D9/B9</f>
        <v/>
      </c>
      <c r="D9" s="56" t="n">
        <v>-13.55613194</v>
      </c>
      <c r="N9" s="66">
        <f>($B$13+$N$7+$N$6)/5</f>
        <v/>
      </c>
      <c r="O9" s="56">
        <f>($C$5*[1]Params!K11)</f>
        <v/>
      </c>
      <c r="P9" s="56">
        <f>(O9*N9)</f>
        <v/>
      </c>
      <c r="R9" s="66">
        <f>B9</f>
        <v/>
      </c>
      <c r="S9" s="56">
        <f>T9/R9</f>
        <v/>
      </c>
      <c r="T9" s="56">
        <f>D9</f>
        <v/>
      </c>
      <c r="V9" s="57" t="n"/>
    </row>
    <row r="10">
      <c r="B10" s="66" t="n">
        <v>-11</v>
      </c>
      <c r="C10" s="57">
        <f>D10/B10</f>
        <v/>
      </c>
      <c r="D10" s="56">
        <f>-18.46116585</f>
        <v/>
      </c>
      <c r="R10" s="66">
        <f>B10+B11</f>
        <v/>
      </c>
      <c r="S10" s="56" t="n">
        <v>0</v>
      </c>
      <c r="T10" s="56">
        <f>D10+D11</f>
        <v/>
      </c>
      <c r="V10" s="57" t="n"/>
    </row>
    <row r="11">
      <c r="B11" s="66" t="n">
        <v>13</v>
      </c>
      <c r="C11" s="56">
        <f>(D11/B11)</f>
        <v/>
      </c>
      <c r="D11" s="56" t="n">
        <v>16.10266887</v>
      </c>
      <c r="F11" t="inlineStr">
        <is>
          <t>Moy</t>
        </is>
      </c>
      <c r="G11" s="56">
        <f>(D13/B13)</f>
        <v/>
      </c>
      <c r="P11" s="56">
        <f>(SUM(P6:P9))</f>
        <v/>
      </c>
      <c r="R11" s="1" t="n"/>
      <c r="S11" s="56" t="n"/>
      <c r="T11" s="56" t="n"/>
      <c r="V11" s="57" t="n"/>
    </row>
    <row r="12">
      <c r="G12" s="56" t="n"/>
      <c r="P12" s="56" t="n"/>
      <c r="R12" s="1" t="n"/>
      <c r="S12" s="56" t="n"/>
      <c r="T12" s="56" t="n"/>
      <c r="V12" s="57" t="n"/>
    </row>
    <row r="13">
      <c r="B13" s="66">
        <f>(SUM(B5:B11))</f>
        <v/>
      </c>
      <c r="D13" s="56">
        <f>(SUM(D5:D11))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R15" s="1" t="n"/>
      <c r="S15" s="56" t="n"/>
      <c r="T15" s="56" t="n"/>
    </row>
    <row r="16">
      <c r="R16" s="1" t="n"/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S24" s="56" t="n"/>
      <c r="T24" s="56" t="n"/>
    </row>
    <row r="25">
      <c r="J25" s="24" t="n"/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R30" s="1">
        <f>(SUM(R5:R29))</f>
        <v/>
      </c>
      <c r="S30" s="56" t="n"/>
      <c r="T30" s="56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3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3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3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3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3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3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3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3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3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3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3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3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3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3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3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3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3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3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3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3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3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3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3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3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3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3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3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3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3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3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3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3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3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3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3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3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3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3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3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3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3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3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3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3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3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3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3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3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3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3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3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3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3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3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3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3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3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3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3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3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3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3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3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3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3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3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3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3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3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3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3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3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3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3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3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3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3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3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3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3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3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3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3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3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3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3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3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3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3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3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3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3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3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3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3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3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3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3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3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3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3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3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3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3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3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3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3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3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3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3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3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3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3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3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3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3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3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3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3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3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3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3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3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3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3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3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3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3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3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3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3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3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3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3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3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3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3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3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3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3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3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3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3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3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3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3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3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3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3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3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3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3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3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3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3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3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3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3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3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3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3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3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3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3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3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3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3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3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3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3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3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3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3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3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3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3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3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3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3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3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3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3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3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3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3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3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3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3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3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3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3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3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3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3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3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3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3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3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3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3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3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3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3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3.362832411793327</v>
      </c>
      <c r="M3" t="inlineStr">
        <is>
          <t>Objectif :</t>
        </is>
      </c>
      <c r="N3" s="24">
        <f>(INDEX(N5:N31,MATCH(MAX(O6:O8,O14:O16),O5:O31,0))/0.85)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0.10101683</v>
      </c>
      <c r="C7" s="59" t="n">
        <v>0</v>
      </c>
      <c r="D7" s="60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59" t="n">
        <v>0</v>
      </c>
      <c r="T7" s="60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52"/>
    <col width="9.140625" customWidth="1" style="14" min="25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0.666316897510664</v>
      </c>
      <c r="M3" t="inlineStr">
        <is>
          <t>Objectif :</t>
        </is>
      </c>
      <c r="N3" s="66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78" t="n">
        <v>0.07534156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-3.793</v>
      </c>
      <c r="C7" s="56">
        <f>D7/B7</f>
        <v/>
      </c>
      <c r="D7" s="56">
        <f>-1.29461908</f>
        <v/>
      </c>
      <c r="N7" s="66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6" t="n"/>
      <c r="S7" s="56" t="n"/>
      <c r="T7" s="56" t="n"/>
      <c r="U7" s="57" t="n"/>
    </row>
    <row r="8">
      <c r="B8" s="66" t="n">
        <v>-1.89</v>
      </c>
      <c r="C8" s="56">
        <f>D8/B8</f>
        <v/>
      </c>
      <c r="D8" s="56" t="n">
        <v>-1.04446569</v>
      </c>
      <c r="N8" s="66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6" t="n"/>
      <c r="S8" s="56" t="n"/>
      <c r="T8" s="56" t="n"/>
    </row>
    <row r="9">
      <c r="B9" s="66" t="n"/>
      <c r="C9" s="56" t="n"/>
      <c r="D9" s="56" t="n"/>
      <c r="N9" s="66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6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tabSelected="1" workbookViewId="0">
      <selection activeCell="Q16" sqref="Q1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5" t="n">
        <v>9.501418298426049e-06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5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260.09</v>
      </c>
      <c r="C6" s="59" t="n">
        <v>0</v>
      </c>
      <c r="D6" s="60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85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85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85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85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J3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topLeftCell="A4"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9" t="n">
        <v>0.004452774605409947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79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6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6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6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O3" sqref="O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94.91094767237212</v>
      </c>
      <c r="M3" t="inlineStr">
        <is>
          <t>Objectif :</t>
        </is>
      </c>
      <c r="N3" s="24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I14" s="24" t="n"/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5">
        <f>(B18)</f>
        <v/>
      </c>
      <c r="S14" s="59">
        <f>(C18)</f>
        <v/>
      </c>
      <c r="T14" s="60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24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0.06340311999999999</v>
      </c>
      <c r="C18" s="59" t="n">
        <v>0</v>
      </c>
      <c r="D18" s="60" t="n">
        <v>0</v>
      </c>
      <c r="E18" s="57">
        <f>B18*J3</f>
        <v/>
      </c>
      <c r="N18" s="24" t="n"/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24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24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4*($B$19+R19)/5-$N$25-N24-N23</f>
        <v/>
      </c>
      <c r="O26" s="56">
        <f>($S$15*[1]Params!K11)</f>
        <v/>
      </c>
      <c r="P26" s="56">
        <f>O26*N26</f>
        <v/>
      </c>
      <c r="R26" s="24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24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R29" s="24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R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N39" s="24">
        <f>N16+N25</f>
        <v/>
      </c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24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24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24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24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24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24" t="n"/>
      <c r="S47" s="56" t="n"/>
      <c r="T47" s="56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0.103631156999554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6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0.25143343</v>
      </c>
      <c r="C6" s="59" t="n">
        <v>0</v>
      </c>
      <c r="D6" s="60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6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6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6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6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6.311140228101637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0.00262331</v>
      </c>
      <c r="C6" s="59" t="n">
        <v>0</v>
      </c>
      <c r="D6" s="59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0</f>
        <v/>
      </c>
      <c r="T6" s="59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6">
        <f>($C$5*[1]Params!K9)</f>
        <v/>
      </c>
      <c r="P7" s="56">
        <f>(O7*N7)</f>
        <v/>
      </c>
      <c r="R7" s="24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6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6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0.5670064979344028</v>
      </c>
      <c r="M3" t="inlineStr">
        <is>
          <t>Objectif :</t>
        </is>
      </c>
      <c r="N3" s="19">
        <f>(INDEX(N5:N14,MATCH(MAX(O6:O7),O5:O14,0))/0.9)</f>
        <v/>
      </c>
      <c r="O3" s="83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0.8186453299999999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AA41" sqref="AA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15"/>
    <col width="9.140625" customWidth="1" style="14" min="21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14.86325948094954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6">
        <f>(T5/R5)</f>
        <v/>
      </c>
      <c r="T5" s="56">
        <f>D5+B7*12.8154</f>
        <v/>
      </c>
    </row>
    <row r="6">
      <c r="B6" s="2" t="n">
        <v>0.00090136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(C6)</f>
        <v/>
      </c>
      <c r="T6" s="59">
        <f>(D6)</f>
        <v/>
      </c>
    </row>
    <row r="7">
      <c r="B7" s="1" t="n">
        <v>-0.29</v>
      </c>
      <c r="C7" s="56">
        <f>D7/B7</f>
        <v/>
      </c>
      <c r="D7" s="56" t="n">
        <v>-4.89894018</v>
      </c>
      <c r="N7" s="1">
        <f>2*(B$14-$B$7)/5+$B$7</f>
        <v/>
      </c>
      <c r="O7" s="56">
        <f>($S$5*[1]Params!K9)</f>
        <v/>
      </c>
      <c r="P7" s="56">
        <f>(O7*N7)</f>
        <v/>
      </c>
      <c r="R7" s="1">
        <f>B7-B7</f>
        <v/>
      </c>
      <c r="S7" s="56" t="n">
        <v>0</v>
      </c>
      <c r="T7" s="57">
        <f>D7+N6*12.8154</f>
        <v/>
      </c>
      <c r="U7" s="57" t="n"/>
    </row>
    <row r="8">
      <c r="C8" s="56" t="n"/>
      <c r="D8" s="56" t="n"/>
      <c r="N8" s="1">
        <f>(B$14-$B$7)/5</f>
        <v/>
      </c>
      <c r="O8" s="56">
        <f>($S$5*[1]Params!K10)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">
        <f>(B$14-$B$7)/5</f>
        <v/>
      </c>
      <c r="O9" s="56">
        <f>($S$5*[1]Params!K11)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15"/>
    <col width="9.140625" customWidth="1" style="14" min="216" max="16384"/>
  </cols>
  <sheetData>
    <row r="1"/>
    <row r="2"/>
    <row r="3">
      <c r="I3" t="inlineStr">
        <is>
          <t>Actual Price :</t>
        </is>
      </c>
      <c r="J3" s="76" t="n">
        <v>2.608842527261315</v>
      </c>
      <c r="N3" s="19" t="n"/>
      <c r="O3" s="83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0.00017964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0.4104131245643755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>
        <f>(INDEX(B5:B8,MATCH(O6/2,C5:C8,0)))</f>
        <v/>
      </c>
      <c r="O6" s="56">
        <f>(MIN(C5:C8)*2)</f>
        <v/>
      </c>
      <c r="P6" s="56">
        <f>(O6*N6/2)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751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4" t="n">
        <v>0.005473914758443154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9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59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9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9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9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5" t="n">
        <v>-8.444000000000001</v>
      </c>
      <c r="D31" s="65">
        <f>-C31*6%</f>
        <v/>
      </c>
      <c r="E31" s="65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6">
        <f>E35*$N$5</f>
        <v/>
      </c>
      <c r="G35" s="56" t="n">
        <v>3.5</v>
      </c>
      <c r="H35" s="67">
        <f>G51</f>
        <v/>
      </c>
      <c r="I35" s="57">
        <f>((F35-H35*D35)*$J$3-G35)</f>
        <v/>
      </c>
      <c r="J35" t="n">
        <v>1</v>
      </c>
      <c r="K35" s="68">
        <f>I35*J35</f>
        <v/>
      </c>
      <c r="L35" s="69" t="n">
        <v>31</v>
      </c>
      <c r="M35" s="69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6">
        <f>E36*$N$5</f>
        <v/>
      </c>
      <c r="G36" s="56" t="n">
        <v>3.5</v>
      </c>
      <c r="H36" s="67">
        <f>G52</f>
        <v/>
      </c>
      <c r="I36" s="57">
        <f>((F36-H36*D36)*$J$3-G36)</f>
        <v/>
      </c>
      <c r="J36" t="n">
        <v>1</v>
      </c>
      <c r="K36" s="68">
        <f>I36*J36</f>
        <v/>
      </c>
      <c r="L36" s="69" t="n">
        <v>8.699999999999999</v>
      </c>
      <c r="M36" s="69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6">
        <f>E37*$N$5</f>
        <v/>
      </c>
      <c r="G37" s="56" t="n">
        <v>3.5</v>
      </c>
      <c r="H37" s="67">
        <f>G53</f>
        <v/>
      </c>
      <c r="I37" s="57">
        <f>((F37-H37*D37)*$J$3-G37)</f>
        <v/>
      </c>
      <c r="J37" t="n">
        <v>1</v>
      </c>
      <c r="K37" s="68">
        <f>I37*J37</f>
        <v/>
      </c>
      <c r="L37" s="69" t="n">
        <v>7.3</v>
      </c>
      <c r="M37" s="69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6">
        <f>E38*$N$5</f>
        <v/>
      </c>
      <c r="G38" s="56" t="n">
        <v>0</v>
      </c>
      <c r="H38" s="67">
        <f>G53</f>
        <v/>
      </c>
      <c r="I38" s="57">
        <f>((F38-H38*D38)*$J$3-G38)</f>
        <v/>
      </c>
      <c r="J38" t="n">
        <v>3</v>
      </c>
      <c r="K38" s="68">
        <f>I38*J38</f>
        <v/>
      </c>
      <c r="L38" s="69">
        <f>L37</f>
        <v/>
      </c>
      <c r="M38" s="69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6">
        <f>E39*$N$5</f>
        <v/>
      </c>
      <c r="G39" s="56" t="n">
        <v>0</v>
      </c>
      <c r="H39" s="67">
        <f>H38</f>
        <v/>
      </c>
      <c r="I39" s="57">
        <f>((F39-H39*D39)*$J$3-G39)</f>
        <v/>
      </c>
      <c r="J39" t="n">
        <v>1</v>
      </c>
      <c r="K39" s="68">
        <f>I39*J39</f>
        <v/>
      </c>
      <c r="L39" s="69">
        <f>L38</f>
        <v/>
      </c>
      <c r="M39" s="69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6">
        <f>E40*$N$5</f>
        <v/>
      </c>
      <c r="G40" s="56" t="n">
        <v>0</v>
      </c>
      <c r="H40" s="67">
        <f>H39</f>
        <v/>
      </c>
      <c r="I40" s="57">
        <f>((F40-H40*D40)*$J$3-G40)</f>
        <v/>
      </c>
      <c r="J40" t="n">
        <v>1</v>
      </c>
      <c r="K40" s="68">
        <f>I40*J40</f>
        <v/>
      </c>
      <c r="L40" s="69">
        <f>L39</f>
        <v/>
      </c>
      <c r="M40" s="69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0" t="n">
        <v>0</v>
      </c>
      <c r="H41" s="71">
        <f>H36</f>
        <v/>
      </c>
      <c r="I41" s="70">
        <f>((F41-H41*D41)*$J$3-G41)</f>
        <v/>
      </c>
      <c r="J41" s="16" t="n">
        <v>1</v>
      </c>
      <c r="K41" s="72">
        <f>I41*J41</f>
        <v/>
      </c>
      <c r="L41" s="73" t="n">
        <v>0</v>
      </c>
      <c r="M41" s="7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0" t="n">
        <v>0</v>
      </c>
      <c r="H42" s="71">
        <f>(H38)</f>
        <v/>
      </c>
      <c r="I42" s="70">
        <f>((F42-H42*D42)*$J$3-G42)</f>
        <v/>
      </c>
      <c r="J42" s="16" t="n">
        <v>1</v>
      </c>
      <c r="K42" s="72">
        <f>(I42*J42)</f>
        <v/>
      </c>
      <c r="L42" s="73" t="n">
        <v>0</v>
      </c>
      <c r="M42" s="7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8" t="n"/>
      <c r="L43" s="69" t="n">
        <v>13</v>
      </c>
      <c r="M43" s="69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69" t="n">
        <v>0.4</v>
      </c>
      <c r="M44" s="69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69" t="n">
        <v>0.35</v>
      </c>
      <c r="M45" s="69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69" t="n">
        <v>1.5</v>
      </c>
      <c r="M46" s="69">
        <f>(L46*J46)</f>
        <v/>
      </c>
      <c r="V46" s="57" t="n"/>
    </row>
    <row r="47">
      <c r="L47" t="inlineStr">
        <is>
          <t>Total</t>
        </is>
      </c>
      <c r="M47" s="69">
        <f>(SUM(M34:M46))</f>
        <v/>
      </c>
      <c r="O47" s="69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5" t="n">
        <v>1.14</v>
      </c>
      <c r="E60" s="62">
        <f>D60/C60</f>
        <v/>
      </c>
    </row>
    <row r="61">
      <c r="B61" s="8" t="n"/>
      <c r="C61" s="19" t="n">
        <v>130.53974622</v>
      </c>
      <c r="D61" s="75" t="n">
        <v>1.179312</v>
      </c>
      <c r="E61" s="62">
        <f>D61/C61</f>
        <v/>
      </c>
    </row>
    <row r="62">
      <c r="B62" s="8" t="n"/>
      <c r="C62" s="19" t="n">
        <v>167.40487412</v>
      </c>
      <c r="D62" s="75" t="n">
        <v>1.05481</v>
      </c>
      <c r="E62" s="62">
        <f>D62/C62</f>
        <v/>
      </c>
    </row>
    <row r="63">
      <c r="B63" s="8" t="n"/>
      <c r="C63" s="19" t="n">
        <v>167.96828</v>
      </c>
      <c r="D63" s="75">
        <f>1.0512-0.00017</f>
        <v/>
      </c>
      <c r="E63" s="62">
        <f>D63/C63</f>
        <v/>
      </c>
    </row>
    <row r="64">
      <c r="B64" s="8" t="n"/>
      <c r="C64" s="19" t="n">
        <v>123.66</v>
      </c>
      <c r="D64" s="75" t="n">
        <v>1.049</v>
      </c>
      <c r="E64" s="62">
        <f>D64/C64</f>
        <v/>
      </c>
    </row>
    <row r="65">
      <c r="B65" s="8" t="n"/>
      <c r="C65" s="19" t="n">
        <v>149.5</v>
      </c>
      <c r="D65" s="75" t="n">
        <v>1.17</v>
      </c>
      <c r="E65" s="62">
        <f>D65/C65</f>
        <v/>
      </c>
    </row>
    <row r="66">
      <c r="B66" s="8" t="n"/>
      <c r="C66" s="19" t="n">
        <v>170.62</v>
      </c>
      <c r="D66" s="75" t="n">
        <v>1.158</v>
      </c>
      <c r="E66" s="62">
        <f>D66/C66</f>
        <v/>
      </c>
    </row>
    <row r="67">
      <c r="B67" s="8" t="n"/>
      <c r="C67" s="19" t="n">
        <v>192.66</v>
      </c>
      <c r="D67" s="75" t="n">
        <v>1.09</v>
      </c>
      <c r="E67" s="62">
        <f>D67/C67</f>
        <v/>
      </c>
    </row>
    <row r="68">
      <c r="B68" s="8" t="n"/>
      <c r="C68" s="19" t="n">
        <v>257.34</v>
      </c>
      <c r="D68" s="75" t="n">
        <v>1.13</v>
      </c>
      <c r="E68" s="62">
        <f>(D68/C68)</f>
        <v/>
      </c>
    </row>
    <row r="69">
      <c r="B69" s="8" t="n"/>
      <c r="C69" s="19" t="n">
        <v>312.13</v>
      </c>
      <c r="D69" s="75" t="n">
        <v>0.82</v>
      </c>
      <c r="E69" s="62">
        <f>(D69/C69)</f>
        <v/>
      </c>
    </row>
    <row r="70">
      <c r="B70" s="8" t="n"/>
      <c r="C70" s="19" t="n">
        <v>352.461</v>
      </c>
      <c r="D70" s="75" t="n">
        <v>1.2074</v>
      </c>
      <c r="E70" s="62">
        <f>(D70/C70)</f>
        <v/>
      </c>
    </row>
    <row r="71">
      <c r="B71" s="8" t="n"/>
      <c r="C71" s="19" t="n">
        <v>263.04</v>
      </c>
      <c r="D71" s="75" t="n">
        <v>1.0588</v>
      </c>
      <c r="E71" s="62">
        <f>(D71/C71)</f>
        <v/>
      </c>
    </row>
    <row r="72">
      <c r="B72" s="8" t="n"/>
      <c r="C72" s="19" t="n">
        <v>359.00496</v>
      </c>
      <c r="D72" s="75" t="n">
        <v>1.1195</v>
      </c>
      <c r="E72" s="62">
        <f>(D72/C72)</f>
        <v/>
      </c>
    </row>
    <row r="73">
      <c r="B73" s="8" t="n"/>
      <c r="C73" s="19" t="n">
        <v>327.91</v>
      </c>
      <c r="D73" s="75" t="n">
        <v>1.0785</v>
      </c>
      <c r="E73" s="62">
        <f>(D73/C73)</f>
        <v/>
      </c>
    </row>
    <row r="74">
      <c r="B74" s="8" t="n"/>
      <c r="C74" s="19" t="n">
        <v>925.39</v>
      </c>
      <c r="D74" s="75" t="n">
        <v>3.1734</v>
      </c>
      <c r="E74" s="62">
        <f>(D74/C74)</f>
        <v/>
      </c>
    </row>
    <row r="75">
      <c r="B75" s="8" t="n"/>
      <c r="C75" s="19" t="n">
        <v>109.44</v>
      </c>
      <c r="D75" s="75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O18" sqref="O18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22"/>
    <col width="9.140625" customWidth="1" style="14" min="22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8.733003630279404</v>
      </c>
      <c r="M3" t="inlineStr">
        <is>
          <t>Objectif :</t>
        </is>
      </c>
      <c r="N3" s="24">
        <f>(INDEX(N5:N21,MATCH(MAX(O6:O8),O5:O21,0))/0.85)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1.288e-05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6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 t="n"/>
    </row>
    <row r="19"/>
    <row r="20"/>
    <row r="21">
      <c r="E21" s="77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0.521370425313756</v>
      </c>
      <c r="M3" t="inlineStr">
        <is>
          <t>Objectif :</t>
        </is>
      </c>
      <c r="N3" s="24">
        <f>(INDEX(N5:N21,MATCH(MAX(O6:O7),O5:O21,0))/0.9)</f>
        <v/>
      </c>
      <c r="O3" s="57">
        <f>(MAX(O6:O7)*0.85)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0.7400270799999999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6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2024-01-07T12:39:12Z</dcterms:modified>
  <cp:lastModifiedBy>Tiko</cp:lastModifiedBy>
</cp:coreProperties>
</file>