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33" activeTab="33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HIB" sheetId="27" r:id="rId27"/>
    <sheet name="SOL" sheetId="28" r:id="rId28"/>
    <sheet name="TRX" sheetId="29" r:id="rId29"/>
    <sheet name="UNI" sheetId="30" r:id="rId30"/>
    <sheet name="XRP" sheetId="31" r:id="rId31"/>
    <sheet name="GRT" sheetId="32" r:id="rId32"/>
    <sheet name="KAVA" sheetId="33" r:id="rId33"/>
    <sheet name="SHPING" sheetId="34" r:id="rId34"/>
    <sheet name="Params" sheetId="35" r:id="rId35"/>
  </sheets>
  <calcPr calcId="124519"/>
</workbook>
</file>

<file path=xl/calcChain.xml><?xml version="1.0" encoding="utf-8"?>
<calcChain xmlns="http://schemas.openxmlformats.org/spreadsheetml/2006/main">
  <c r="C5" i="21"/>
  <c r="T10"/>
  <c r="R10"/>
  <c r="T9"/>
  <c r="R9"/>
  <c r="N3"/>
  <c r="O3"/>
  <c r="P7"/>
  <c r="O7"/>
  <c r="O8"/>
  <c r="N7"/>
  <c r="N9"/>
  <c r="N8"/>
  <c r="C12"/>
  <c r="N26" i="35" l="1"/>
  <c r="N25"/>
  <c r="N24"/>
  <c r="N23"/>
  <c r="N22"/>
  <c r="N27" s="1"/>
  <c r="O27" s="1"/>
  <c r="P27" s="1"/>
  <c r="N19"/>
  <c r="N18"/>
  <c r="N17"/>
  <c r="N16"/>
  <c r="N15"/>
  <c r="N20" s="1"/>
  <c r="O20" s="1"/>
  <c r="P20" s="1"/>
  <c r="N12"/>
  <c r="N11"/>
  <c r="N10"/>
  <c r="N9"/>
  <c r="N8"/>
  <c r="N13" s="1"/>
  <c r="O13" s="1"/>
  <c r="P13" s="1"/>
  <c r="D10" i="34"/>
  <c r="B10"/>
  <c r="N9"/>
  <c r="G9"/>
  <c r="N8"/>
  <c r="N7"/>
  <c r="N6"/>
  <c r="C5"/>
  <c r="O7" s="1"/>
  <c r="P7" s="1"/>
  <c r="J4"/>
  <c r="K4" s="1"/>
  <c r="D10" i="33"/>
  <c r="B10"/>
  <c r="N9"/>
  <c r="G9"/>
  <c r="N8"/>
  <c r="N7"/>
  <c r="N6"/>
  <c r="C5"/>
  <c r="O9" s="1"/>
  <c r="P9" s="1"/>
  <c r="J4"/>
  <c r="K4" s="1"/>
  <c r="D11" i="32"/>
  <c r="B11"/>
  <c r="G10"/>
  <c r="C9"/>
  <c r="T8"/>
  <c r="R8"/>
  <c r="N9" s="1"/>
  <c r="N8"/>
  <c r="C8"/>
  <c r="S8" s="1"/>
  <c r="T7"/>
  <c r="R7"/>
  <c r="N7"/>
  <c r="C7"/>
  <c r="S7" s="1"/>
  <c r="T6"/>
  <c r="R6"/>
  <c r="N6"/>
  <c r="C6"/>
  <c r="O6" s="1"/>
  <c r="R5"/>
  <c r="R35" s="1"/>
  <c r="C5"/>
  <c r="O8" s="1"/>
  <c r="P8" s="1"/>
  <c r="J4"/>
  <c r="B13" i="31"/>
  <c r="N9"/>
  <c r="C9"/>
  <c r="N8"/>
  <c r="C8"/>
  <c r="C7"/>
  <c r="T6"/>
  <c r="S6"/>
  <c r="R6"/>
  <c r="P6"/>
  <c r="O6" s="1"/>
  <c r="N6"/>
  <c r="N7" s="1"/>
  <c r="E6"/>
  <c r="D6"/>
  <c r="D13" s="1"/>
  <c r="G12" s="1"/>
  <c r="R5"/>
  <c r="R17" s="1"/>
  <c r="C5"/>
  <c r="O9" s="1"/>
  <c r="P9" s="1"/>
  <c r="J4"/>
  <c r="K4" s="1"/>
  <c r="B10" i="30"/>
  <c r="N9"/>
  <c r="N8"/>
  <c r="N7"/>
  <c r="N6"/>
  <c r="E6"/>
  <c r="D6"/>
  <c r="D10" s="1"/>
  <c r="G9" s="1"/>
  <c r="C5"/>
  <c r="O7" s="1"/>
  <c r="P7" s="1"/>
  <c r="J4"/>
  <c r="B13" i="29"/>
  <c r="N9" s="1"/>
  <c r="N8"/>
  <c r="N7"/>
  <c r="N6"/>
  <c r="Q6" s="1"/>
  <c r="E6"/>
  <c r="D6"/>
  <c r="D13" s="1"/>
  <c r="G12" s="1"/>
  <c r="C5"/>
  <c r="O8" s="1"/>
  <c r="P8" s="1"/>
  <c r="J4"/>
  <c r="K4" s="1"/>
  <c r="D33" i="28"/>
  <c r="C33"/>
  <c r="C32"/>
  <c r="C31"/>
  <c r="C30"/>
  <c r="D29"/>
  <c r="C29"/>
  <c r="B28"/>
  <c r="C28" s="1"/>
  <c r="C27"/>
  <c r="B26"/>
  <c r="C26" s="1"/>
  <c r="C25"/>
  <c r="C24"/>
  <c r="N23"/>
  <c r="C23"/>
  <c r="T22"/>
  <c r="R22"/>
  <c r="C22"/>
  <c r="O23" s="1"/>
  <c r="T21"/>
  <c r="R21"/>
  <c r="C21"/>
  <c r="T20"/>
  <c r="R20"/>
  <c r="C20"/>
  <c r="T19"/>
  <c r="R19"/>
  <c r="C19"/>
  <c r="T18"/>
  <c r="R18"/>
  <c r="E18"/>
  <c r="T17"/>
  <c r="R17"/>
  <c r="C17"/>
  <c r="T16"/>
  <c r="S16"/>
  <c r="R16"/>
  <c r="C16"/>
  <c r="T15"/>
  <c r="S15" s="1"/>
  <c r="R15"/>
  <c r="N25" s="1"/>
  <c r="E15"/>
  <c r="B15"/>
  <c r="T14"/>
  <c r="S14"/>
  <c r="R14"/>
  <c r="O14"/>
  <c r="P14" s="1"/>
  <c r="N14"/>
  <c r="E14"/>
  <c r="B14"/>
  <c r="T13"/>
  <c r="S13" s="1"/>
  <c r="R13"/>
  <c r="N17" s="1"/>
  <c r="B13"/>
  <c r="D13" s="1"/>
  <c r="T12"/>
  <c r="S12"/>
  <c r="R12"/>
  <c r="E12"/>
  <c r="T11"/>
  <c r="S11"/>
  <c r="R11"/>
  <c r="C11"/>
  <c r="T10"/>
  <c r="S10"/>
  <c r="R10"/>
  <c r="C10"/>
  <c r="U9"/>
  <c r="R9"/>
  <c r="S9" s="1"/>
  <c r="O9"/>
  <c r="C9"/>
  <c r="B9"/>
  <c r="T8"/>
  <c r="R8"/>
  <c r="P8"/>
  <c r="O8"/>
  <c r="C8"/>
  <c r="B8"/>
  <c r="T7"/>
  <c r="R7"/>
  <c r="P7"/>
  <c r="O7" s="1"/>
  <c r="N3" s="1"/>
  <c r="N7"/>
  <c r="C7"/>
  <c r="T6"/>
  <c r="O6"/>
  <c r="N6"/>
  <c r="P6" s="1"/>
  <c r="B6"/>
  <c r="R6" s="1"/>
  <c r="S5"/>
  <c r="D5"/>
  <c r="D35" s="1"/>
  <c r="B5"/>
  <c r="R5" s="1"/>
  <c r="B13" i="27"/>
  <c r="J4" s="1"/>
  <c r="O9"/>
  <c r="P9" s="1"/>
  <c r="N9"/>
  <c r="N8"/>
  <c r="O7"/>
  <c r="P7" s="1"/>
  <c r="N7"/>
  <c r="N6"/>
  <c r="E6"/>
  <c r="D6"/>
  <c r="D13" s="1"/>
  <c r="G12" s="1"/>
  <c r="C5"/>
  <c r="O8" s="1"/>
  <c r="P8" s="1"/>
  <c r="B19" i="26"/>
  <c r="J4" s="1"/>
  <c r="N17"/>
  <c r="C17"/>
  <c r="N16"/>
  <c r="C16"/>
  <c r="N15"/>
  <c r="C15"/>
  <c r="N14"/>
  <c r="C14"/>
  <c r="C13"/>
  <c r="C12"/>
  <c r="C11"/>
  <c r="C10"/>
  <c r="T9"/>
  <c r="V9" s="1"/>
  <c r="R9"/>
  <c r="N9"/>
  <c r="D9"/>
  <c r="D19" s="1"/>
  <c r="G18" s="1"/>
  <c r="C9"/>
  <c r="T8"/>
  <c r="V8" s="1"/>
  <c r="R8"/>
  <c r="N8"/>
  <c r="C8"/>
  <c r="T7"/>
  <c r="R7"/>
  <c r="N7"/>
  <c r="E7"/>
  <c r="U6"/>
  <c r="T6"/>
  <c r="S6"/>
  <c r="R6"/>
  <c r="N6"/>
  <c r="C6"/>
  <c r="O17" s="1"/>
  <c r="P17" s="1"/>
  <c r="T5"/>
  <c r="S5" s="1"/>
  <c r="R5"/>
  <c r="R22" s="1"/>
  <c r="C5"/>
  <c r="O9" s="1"/>
  <c r="P9" s="1"/>
  <c r="B10" i="25"/>
  <c r="N9" s="1"/>
  <c r="N7"/>
  <c r="D7"/>
  <c r="E6"/>
  <c r="D6"/>
  <c r="D10" s="1"/>
  <c r="G9" s="1"/>
  <c r="C5"/>
  <c r="O7" s="1"/>
  <c r="P7" s="1"/>
  <c r="J4"/>
  <c r="E7" s="1"/>
  <c r="N17" i="24"/>
  <c r="N16"/>
  <c r="B16"/>
  <c r="D16" s="1"/>
  <c r="T9" s="1"/>
  <c r="D15"/>
  <c r="B15"/>
  <c r="B18" s="1"/>
  <c r="J4" s="1"/>
  <c r="N14"/>
  <c r="C14"/>
  <c r="C13"/>
  <c r="C12"/>
  <c r="C11"/>
  <c r="T10"/>
  <c r="R10"/>
  <c r="N15" s="1"/>
  <c r="C10"/>
  <c r="R9"/>
  <c r="N9" s="1"/>
  <c r="C9"/>
  <c r="T8"/>
  <c r="S8"/>
  <c r="R8"/>
  <c r="N8"/>
  <c r="C8"/>
  <c r="T7"/>
  <c r="S7" s="1"/>
  <c r="R7"/>
  <c r="C7"/>
  <c r="O9" s="1"/>
  <c r="P9" s="1"/>
  <c r="R6"/>
  <c r="U6" s="1"/>
  <c r="N6"/>
  <c r="E6"/>
  <c r="D6"/>
  <c r="D18" s="1"/>
  <c r="G17" s="1"/>
  <c r="T5"/>
  <c r="S5"/>
  <c r="R5"/>
  <c r="R17" s="1"/>
  <c r="C5"/>
  <c r="O17" s="1"/>
  <c r="P17" s="1"/>
  <c r="B35" i="23"/>
  <c r="C35" s="1"/>
  <c r="N9" s="1"/>
  <c r="P9" s="1"/>
  <c r="C34"/>
  <c r="C33"/>
  <c r="B32"/>
  <c r="C32" s="1"/>
  <c r="C31"/>
  <c r="C30"/>
  <c r="C29"/>
  <c r="C28"/>
  <c r="C27"/>
  <c r="D26"/>
  <c r="B26"/>
  <c r="T25"/>
  <c r="D25"/>
  <c r="T21" s="1"/>
  <c r="S21" s="1"/>
  <c r="B25"/>
  <c r="T24"/>
  <c r="C24"/>
  <c r="T23"/>
  <c r="R23"/>
  <c r="C23"/>
  <c r="T22"/>
  <c r="R22"/>
  <c r="C22"/>
  <c r="R21"/>
  <c r="C21"/>
  <c r="R20"/>
  <c r="S20" s="1"/>
  <c r="D20"/>
  <c r="S19"/>
  <c r="R19"/>
  <c r="D19"/>
  <c r="R18"/>
  <c r="S18" s="1"/>
  <c r="E18"/>
  <c r="D18"/>
  <c r="R17"/>
  <c r="T17" s="1"/>
  <c r="D17"/>
  <c r="T16"/>
  <c r="R16"/>
  <c r="C16"/>
  <c r="R15"/>
  <c r="T15" s="1"/>
  <c r="C15"/>
  <c r="T14"/>
  <c r="R14"/>
  <c r="C14"/>
  <c r="T13"/>
  <c r="S13"/>
  <c r="R13"/>
  <c r="C13"/>
  <c r="R12"/>
  <c r="S12" s="1"/>
  <c r="C12"/>
  <c r="S11"/>
  <c r="R11"/>
  <c r="C11"/>
  <c r="R10"/>
  <c r="S10" s="1"/>
  <c r="C10"/>
  <c r="O9"/>
  <c r="B9"/>
  <c r="B37" s="1"/>
  <c r="J4" s="1"/>
  <c r="R8"/>
  <c r="S8" s="1"/>
  <c r="C8"/>
  <c r="T7"/>
  <c r="R7"/>
  <c r="D7"/>
  <c r="R6"/>
  <c r="T6" s="1"/>
  <c r="N6"/>
  <c r="D6"/>
  <c r="R5"/>
  <c r="T5" s="1"/>
  <c r="T37" s="1"/>
  <c r="D5"/>
  <c r="D37" s="1"/>
  <c r="G37" s="1"/>
  <c r="B16" i="22"/>
  <c r="J4" s="1"/>
  <c r="D14"/>
  <c r="D13"/>
  <c r="D12"/>
  <c r="D11"/>
  <c r="D10"/>
  <c r="D9"/>
  <c r="D8"/>
  <c r="C7"/>
  <c r="B7"/>
  <c r="E6"/>
  <c r="D6"/>
  <c r="D5"/>
  <c r="D16" s="1"/>
  <c r="D14" i="21"/>
  <c r="B14"/>
  <c r="C11"/>
  <c r="C10"/>
  <c r="S9"/>
  <c r="O9"/>
  <c r="P9" s="1"/>
  <c r="C9"/>
  <c r="T8"/>
  <c r="R8"/>
  <c r="P8"/>
  <c r="C8"/>
  <c r="T7"/>
  <c r="S7"/>
  <c r="R7"/>
  <c r="C7"/>
  <c r="T6"/>
  <c r="S6" s="1"/>
  <c r="R6"/>
  <c r="P6"/>
  <c r="O6"/>
  <c r="N6"/>
  <c r="E6"/>
  <c r="D6"/>
  <c r="T5"/>
  <c r="S5" s="1"/>
  <c r="R5"/>
  <c r="R20" s="1"/>
  <c r="J4"/>
  <c r="B10" i="20"/>
  <c r="N9"/>
  <c r="N8"/>
  <c r="O7"/>
  <c r="P7" s="1"/>
  <c r="N7"/>
  <c r="N6"/>
  <c r="E6"/>
  <c r="D6"/>
  <c r="D10" s="1"/>
  <c r="C5"/>
  <c r="O9" s="1"/>
  <c r="P9" s="1"/>
  <c r="J4"/>
  <c r="B10" i="19"/>
  <c r="N9" s="1"/>
  <c r="N7"/>
  <c r="E6"/>
  <c r="D6"/>
  <c r="D10" s="1"/>
  <c r="G9" s="1"/>
  <c r="C5"/>
  <c r="O7" s="1"/>
  <c r="P7" s="1"/>
  <c r="J4"/>
  <c r="K4" s="1"/>
  <c r="B10" i="18"/>
  <c r="N9"/>
  <c r="N8"/>
  <c r="O7"/>
  <c r="P7" s="1"/>
  <c r="N7"/>
  <c r="N6"/>
  <c r="E6"/>
  <c r="D6"/>
  <c r="D10" s="1"/>
  <c r="C5"/>
  <c r="O9" s="1"/>
  <c r="P9" s="1"/>
  <c r="J4"/>
  <c r="D13" i="17"/>
  <c r="B13"/>
  <c r="G12"/>
  <c r="O9"/>
  <c r="N9"/>
  <c r="P9" s="1"/>
  <c r="O8"/>
  <c r="P8" s="1"/>
  <c r="N8"/>
  <c r="O7"/>
  <c r="N7"/>
  <c r="P7" s="1"/>
  <c r="O6"/>
  <c r="P6" s="1"/>
  <c r="N6"/>
  <c r="E6"/>
  <c r="D6"/>
  <c r="K4"/>
  <c r="J4"/>
  <c r="C10" i="16"/>
  <c r="O9"/>
  <c r="D9"/>
  <c r="B9"/>
  <c r="O8"/>
  <c r="D8"/>
  <c r="C8" s="1"/>
  <c r="B8"/>
  <c r="B14" s="1"/>
  <c r="T7"/>
  <c r="S7"/>
  <c r="R7"/>
  <c r="C7"/>
  <c r="T6"/>
  <c r="S6" s="1"/>
  <c r="R6"/>
  <c r="E6"/>
  <c r="D6"/>
  <c r="T5"/>
  <c r="R5"/>
  <c r="C5"/>
  <c r="D13" i="15"/>
  <c r="B13"/>
  <c r="G12"/>
  <c r="N9"/>
  <c r="N8"/>
  <c r="N7"/>
  <c r="N6"/>
  <c r="E6"/>
  <c r="D6"/>
  <c r="C5"/>
  <c r="O9" s="1"/>
  <c r="P9" s="1"/>
  <c r="J4"/>
  <c r="K4" s="1"/>
  <c r="B17" i="14"/>
  <c r="J4" s="1"/>
  <c r="K4" s="1"/>
  <c r="C15"/>
  <c r="D14"/>
  <c r="C14"/>
  <c r="C13"/>
  <c r="C12"/>
  <c r="S9" s="1"/>
  <c r="C11"/>
  <c r="T10"/>
  <c r="R10"/>
  <c r="E10"/>
  <c r="R9"/>
  <c r="N17" s="1"/>
  <c r="D9"/>
  <c r="G17" s="1"/>
  <c r="S8"/>
  <c r="O8" s="1"/>
  <c r="P8" s="1"/>
  <c r="R8"/>
  <c r="N9" s="1"/>
  <c r="N8"/>
  <c r="E8"/>
  <c r="S7"/>
  <c r="R7"/>
  <c r="T7" s="1"/>
  <c r="O7"/>
  <c r="P7" s="1"/>
  <c r="N7"/>
  <c r="E7"/>
  <c r="S6"/>
  <c r="R6"/>
  <c r="T6" s="1"/>
  <c r="N6"/>
  <c r="D6"/>
  <c r="T5"/>
  <c r="R5"/>
  <c r="N24" s="1"/>
  <c r="D5"/>
  <c r="D17" s="1"/>
  <c r="D13" i="13"/>
  <c r="G12" s="1"/>
  <c r="B13"/>
  <c r="C11"/>
  <c r="C10"/>
  <c r="N9"/>
  <c r="C9"/>
  <c r="N8"/>
  <c r="C8"/>
  <c r="N7"/>
  <c r="C7"/>
  <c r="T6"/>
  <c r="R6"/>
  <c r="N6"/>
  <c r="C6"/>
  <c r="O6" s="1"/>
  <c r="P6" s="1"/>
  <c r="T5"/>
  <c r="R5"/>
  <c r="R15" s="1"/>
  <c r="C5"/>
  <c r="O9" s="1"/>
  <c r="P9" s="1"/>
  <c r="K4"/>
  <c r="J4"/>
  <c r="N17" i="12"/>
  <c r="N16"/>
  <c r="N15"/>
  <c r="N14"/>
  <c r="B13"/>
  <c r="J4" s="1"/>
  <c r="K4" s="1"/>
  <c r="C11"/>
  <c r="C10"/>
  <c r="C9"/>
  <c r="U8"/>
  <c r="T8"/>
  <c r="R8"/>
  <c r="C8"/>
  <c r="T7"/>
  <c r="R7"/>
  <c r="C7"/>
  <c r="T6"/>
  <c r="S6"/>
  <c r="R6"/>
  <c r="E6"/>
  <c r="D6"/>
  <c r="D13" s="1"/>
  <c r="T5"/>
  <c r="T13" s="1"/>
  <c r="R5"/>
  <c r="U5" s="1"/>
  <c r="C5"/>
  <c r="O6" s="1"/>
  <c r="B14" i="11"/>
  <c r="N9"/>
  <c r="N8"/>
  <c r="N7"/>
  <c r="D7"/>
  <c r="D14" s="1"/>
  <c r="G13" s="1"/>
  <c r="N6"/>
  <c r="E6"/>
  <c r="D6"/>
  <c r="C5"/>
  <c r="O9" s="1"/>
  <c r="P9" s="1"/>
  <c r="J4"/>
  <c r="B14" i="10"/>
  <c r="D12"/>
  <c r="C12" s="1"/>
  <c r="C11"/>
  <c r="C10"/>
  <c r="C9"/>
  <c r="C8"/>
  <c r="R7"/>
  <c r="C7"/>
  <c r="T6"/>
  <c r="S6"/>
  <c r="R6"/>
  <c r="N6"/>
  <c r="E6"/>
  <c r="D6"/>
  <c r="D14" s="1"/>
  <c r="G13" s="1"/>
  <c r="T5"/>
  <c r="R5"/>
  <c r="N9" s="1"/>
  <c r="C5"/>
  <c r="O6" s="1"/>
  <c r="P6" s="1"/>
  <c r="J4"/>
  <c r="B14" i="9"/>
  <c r="N6" s="1"/>
  <c r="C10"/>
  <c r="N9"/>
  <c r="C9"/>
  <c r="N8"/>
  <c r="C8"/>
  <c r="T7"/>
  <c r="R7"/>
  <c r="N7"/>
  <c r="C7"/>
  <c r="R6"/>
  <c r="O6"/>
  <c r="P6" s="1"/>
  <c r="E6"/>
  <c r="U6" s="1"/>
  <c r="D6"/>
  <c r="D14" s="1"/>
  <c r="G13" s="1"/>
  <c r="T5"/>
  <c r="R5"/>
  <c r="R17" s="1"/>
  <c r="C5"/>
  <c r="O9" s="1"/>
  <c r="P9" s="1"/>
  <c r="B13" i="8"/>
  <c r="N9"/>
  <c r="C9"/>
  <c r="T8"/>
  <c r="R8"/>
  <c r="N8"/>
  <c r="C8"/>
  <c r="T7"/>
  <c r="S7" s="1"/>
  <c r="R7"/>
  <c r="N7"/>
  <c r="C7"/>
  <c r="O9" s="1"/>
  <c r="P9" s="1"/>
  <c r="R6"/>
  <c r="U6" s="1"/>
  <c r="N6"/>
  <c r="E6"/>
  <c r="D6"/>
  <c r="D13" s="1"/>
  <c r="G12" s="1"/>
  <c r="T5"/>
  <c r="S5"/>
  <c r="R5"/>
  <c r="R13" s="1"/>
  <c r="C5"/>
  <c r="J4"/>
  <c r="E6" i="7"/>
  <c r="C6"/>
  <c r="E5"/>
  <c r="E9" s="1"/>
  <c r="C5"/>
  <c r="C4" i="6"/>
  <c r="C74" i="5"/>
  <c r="E72"/>
  <c r="E71"/>
  <c r="E70"/>
  <c r="E69"/>
  <c r="E68"/>
  <c r="E67"/>
  <c r="E66"/>
  <c r="E65"/>
  <c r="E64"/>
  <c r="E63"/>
  <c r="D62"/>
  <c r="D74" s="1"/>
  <c r="E61"/>
  <c r="E60"/>
  <c r="E59"/>
  <c r="E52"/>
  <c r="D52"/>
  <c r="G52" s="1"/>
  <c r="C52"/>
  <c r="E51"/>
  <c r="D51"/>
  <c r="G51" s="1"/>
  <c r="H35" s="1"/>
  <c r="H40" s="1"/>
  <c r="C51"/>
  <c r="F50"/>
  <c r="E50"/>
  <c r="D50"/>
  <c r="C50"/>
  <c r="G50" s="1"/>
  <c r="H34" s="1"/>
  <c r="M45"/>
  <c r="M44"/>
  <c r="M43"/>
  <c r="M42"/>
  <c r="E41"/>
  <c r="F41" s="1"/>
  <c r="D41"/>
  <c r="M40"/>
  <c r="F40"/>
  <c r="E40"/>
  <c r="E39"/>
  <c r="F39" s="1"/>
  <c r="D39"/>
  <c r="E38"/>
  <c r="F38" s="1"/>
  <c r="D38"/>
  <c r="M37"/>
  <c r="L37"/>
  <c r="L38" s="1"/>
  <c r="E37"/>
  <c r="F37" s="1"/>
  <c r="D37"/>
  <c r="M36"/>
  <c r="D36"/>
  <c r="E36" s="1"/>
  <c r="F36" s="1"/>
  <c r="M35"/>
  <c r="E35"/>
  <c r="F35" s="1"/>
  <c r="I35" s="1"/>
  <c r="K35" s="1"/>
  <c r="D35"/>
  <c r="M34"/>
  <c r="D34"/>
  <c r="E34" s="1"/>
  <c r="F34" s="1"/>
  <c r="I34" s="1"/>
  <c r="K34" s="1"/>
  <c r="E30"/>
  <c r="E29"/>
  <c r="E28"/>
  <c r="E27"/>
  <c r="E26"/>
  <c r="E25"/>
  <c r="E24"/>
  <c r="E23"/>
  <c r="E22"/>
  <c r="E21"/>
  <c r="E20"/>
  <c r="E19"/>
  <c r="E18"/>
  <c r="E17"/>
  <c r="E16"/>
  <c r="D16"/>
  <c r="E15"/>
  <c r="D14"/>
  <c r="E14" s="1"/>
  <c r="E13"/>
  <c r="D12"/>
  <c r="E12" s="1"/>
  <c r="E11"/>
  <c r="D10"/>
  <c r="E10" s="1"/>
  <c r="E9"/>
  <c r="J14" s="1"/>
  <c r="E8"/>
  <c r="E7"/>
  <c r="E6"/>
  <c r="E5"/>
  <c r="J12" s="1"/>
  <c r="O32" i="4"/>
  <c r="P32" s="1"/>
  <c r="N32"/>
  <c r="O31"/>
  <c r="P31" s="1"/>
  <c r="N31"/>
  <c r="O30"/>
  <c r="P30" s="1"/>
  <c r="N30"/>
  <c r="O29"/>
  <c r="P29" s="1"/>
  <c r="P35" s="1"/>
  <c r="N29"/>
  <c r="O23"/>
  <c r="P23" s="1"/>
  <c r="N23"/>
  <c r="O22"/>
  <c r="P22" s="1"/>
  <c r="N22"/>
  <c r="O21"/>
  <c r="P21" s="1"/>
  <c r="N21"/>
  <c r="O20"/>
  <c r="P20" s="1"/>
  <c r="P26" s="1"/>
  <c r="N20"/>
  <c r="O14"/>
  <c r="P14" s="1"/>
  <c r="N14"/>
  <c r="O13"/>
  <c r="P13" s="1"/>
  <c r="N13"/>
  <c r="O12"/>
  <c r="P12" s="1"/>
  <c r="N12"/>
  <c r="O11"/>
  <c r="P11" s="1"/>
  <c r="P17" s="1"/>
  <c r="N11"/>
  <c r="B9"/>
  <c r="D7"/>
  <c r="N6"/>
  <c r="O6" s="1"/>
  <c r="D6"/>
  <c r="D5"/>
  <c r="D9" s="1"/>
  <c r="J4"/>
  <c r="D231" i="3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E231" s="1"/>
  <c r="Y2"/>
  <c r="M75" i="2"/>
  <c r="M73"/>
  <c r="M68"/>
  <c r="M67"/>
  <c r="M66"/>
  <c r="N65"/>
  <c r="O65" s="1"/>
  <c r="M65"/>
  <c r="M60"/>
  <c r="M59"/>
  <c r="N57"/>
  <c r="M52"/>
  <c r="M51"/>
  <c r="M50"/>
  <c r="N49"/>
  <c r="O49" s="1"/>
  <c r="M49"/>
  <c r="N44"/>
  <c r="O44" s="1"/>
  <c r="M44"/>
  <c r="M43"/>
  <c r="N42"/>
  <c r="O42" s="1"/>
  <c r="M42"/>
  <c r="N41"/>
  <c r="M41"/>
  <c r="O41" s="1"/>
  <c r="M36"/>
  <c r="M35"/>
  <c r="B35"/>
  <c r="C35" s="1"/>
  <c r="M34"/>
  <c r="C34"/>
  <c r="N33"/>
  <c r="O33" s="1"/>
  <c r="M33"/>
  <c r="D33"/>
  <c r="C33" s="1"/>
  <c r="N19" s="1"/>
  <c r="O19" s="1"/>
  <c r="B33"/>
  <c r="R15" s="1"/>
  <c r="C32"/>
  <c r="B30"/>
  <c r="D29"/>
  <c r="M28"/>
  <c r="D28"/>
  <c r="M27"/>
  <c r="D27"/>
  <c r="M26"/>
  <c r="D26"/>
  <c r="C26"/>
  <c r="N9" s="1"/>
  <c r="N25"/>
  <c r="O25" s="1"/>
  <c r="M25"/>
  <c r="C25"/>
  <c r="N68" s="1"/>
  <c r="O68" s="1"/>
  <c r="T24"/>
  <c r="S24"/>
  <c r="N75" s="1"/>
  <c r="O75" s="1"/>
  <c r="R24"/>
  <c r="M76" s="1"/>
  <c r="C24"/>
  <c r="T23"/>
  <c r="R23"/>
  <c r="C23"/>
  <c r="C22"/>
  <c r="N43" s="1"/>
  <c r="O43" s="1"/>
  <c r="R21"/>
  <c r="C21"/>
  <c r="M20"/>
  <c r="C20"/>
  <c r="N36" s="1"/>
  <c r="O36" s="1"/>
  <c r="T19"/>
  <c r="S19"/>
  <c r="N52" s="1"/>
  <c r="O52" s="1"/>
  <c r="R19"/>
  <c r="M19"/>
  <c r="C19"/>
  <c r="N28" s="1"/>
  <c r="O28" s="1"/>
  <c r="T18"/>
  <c r="S18" s="1"/>
  <c r="R18"/>
  <c r="N18"/>
  <c r="O18" s="1"/>
  <c r="M18"/>
  <c r="D18"/>
  <c r="C18" s="1"/>
  <c r="N17" s="1"/>
  <c r="O17" s="1"/>
  <c r="T17"/>
  <c r="S17" s="1"/>
  <c r="R17"/>
  <c r="M17"/>
  <c r="C17"/>
  <c r="N20" s="1"/>
  <c r="O20" s="1"/>
  <c r="T16"/>
  <c r="S16"/>
  <c r="R16"/>
  <c r="D16"/>
  <c r="T14" s="1"/>
  <c r="S14" s="1"/>
  <c r="D15"/>
  <c r="R14"/>
  <c r="D14"/>
  <c r="T13"/>
  <c r="R13"/>
  <c r="D13"/>
  <c r="T12" s="1"/>
  <c r="S12" s="1"/>
  <c r="R12"/>
  <c r="N12"/>
  <c r="M12"/>
  <c r="O12" s="1"/>
  <c r="D12"/>
  <c r="T11"/>
  <c r="R11"/>
  <c r="N11"/>
  <c r="M11"/>
  <c r="O11" s="1"/>
  <c r="D11"/>
  <c r="T10"/>
  <c r="R10"/>
  <c r="N10"/>
  <c r="M10"/>
  <c r="O10" s="1"/>
  <c r="D10"/>
  <c r="S9"/>
  <c r="R9"/>
  <c r="M9"/>
  <c r="C9"/>
  <c r="S8"/>
  <c r="R8"/>
  <c r="C8"/>
  <c r="S7"/>
  <c r="R7"/>
  <c r="C7"/>
  <c r="T6"/>
  <c r="R6"/>
  <c r="E6"/>
  <c r="D6"/>
  <c r="T5"/>
  <c r="R5"/>
  <c r="D5"/>
  <c r="C40" i="1"/>
  <c r="B38"/>
  <c r="D38" s="1"/>
  <c r="T21" s="1"/>
  <c r="C37"/>
  <c r="S20" s="1"/>
  <c r="C36"/>
  <c r="C35"/>
  <c r="C34"/>
  <c r="D33"/>
  <c r="D32"/>
  <c r="D31"/>
  <c r="D30"/>
  <c r="D29"/>
  <c r="C28"/>
  <c r="D27"/>
  <c r="D26"/>
  <c r="D25"/>
  <c r="D24"/>
  <c r="T23"/>
  <c r="S23" s="1"/>
  <c r="R23"/>
  <c r="N37" s="1"/>
  <c r="D23"/>
  <c r="C23" s="1"/>
  <c r="B23"/>
  <c r="D22"/>
  <c r="N21"/>
  <c r="D21"/>
  <c r="T20"/>
  <c r="R20"/>
  <c r="N29" s="1"/>
  <c r="N20"/>
  <c r="C20"/>
  <c r="C19"/>
  <c r="D19" s="1"/>
  <c r="O18"/>
  <c r="N18"/>
  <c r="P18" s="1"/>
  <c r="C18"/>
  <c r="D18" s="1"/>
  <c r="T10" s="1"/>
  <c r="S10" s="1"/>
  <c r="R17"/>
  <c r="S17" s="1"/>
  <c r="D17"/>
  <c r="T16"/>
  <c r="R16"/>
  <c r="D16"/>
  <c r="R15"/>
  <c r="T15" s="1"/>
  <c r="D15"/>
  <c r="R14"/>
  <c r="T14" s="1"/>
  <c r="D14"/>
  <c r="T13"/>
  <c r="S13" s="1"/>
  <c r="R13"/>
  <c r="N13"/>
  <c r="D13"/>
  <c r="T12"/>
  <c r="R12"/>
  <c r="N12"/>
  <c r="E12"/>
  <c r="D12"/>
  <c r="T11"/>
  <c r="R11"/>
  <c r="D11"/>
  <c r="R10"/>
  <c r="O10"/>
  <c r="D10"/>
  <c r="R9"/>
  <c r="T9" s="1"/>
  <c r="D9"/>
  <c r="R8"/>
  <c r="D8"/>
  <c r="T8" s="1"/>
  <c r="R7"/>
  <c r="T7" s="1"/>
  <c r="D7"/>
  <c r="R6"/>
  <c r="T6" s="1"/>
  <c r="D6"/>
  <c r="R5"/>
  <c r="D5"/>
  <c r="G13" i="21" l="1"/>
  <c r="K4"/>
  <c r="K4" i="32"/>
  <c r="K4" i="30"/>
  <c r="E7" i="11"/>
  <c r="K4" i="10"/>
  <c r="O35" i="1"/>
  <c r="O34"/>
  <c r="O37"/>
  <c r="P37" s="1"/>
  <c r="O36"/>
  <c r="O29"/>
  <c r="P29" s="1"/>
  <c r="O28"/>
  <c r="O27"/>
  <c r="O26"/>
  <c r="H36" i="5"/>
  <c r="H37"/>
  <c r="O6" i="8"/>
  <c r="P6" s="1"/>
  <c r="O7"/>
  <c r="P7" s="1"/>
  <c r="O22" i="2"/>
  <c r="O46"/>
  <c r="I37" i="5"/>
  <c r="K37" s="1"/>
  <c r="I40"/>
  <c r="K40" s="1"/>
  <c r="K4" i="8"/>
  <c r="O9" i="2"/>
  <c r="O14" s="1"/>
  <c r="N4"/>
  <c r="L39" i="5"/>
  <c r="M38"/>
  <c r="K4" i="4"/>
  <c r="I36" i="5"/>
  <c r="K36" s="1"/>
  <c r="N9" i="12"/>
  <c r="N8"/>
  <c r="N7"/>
  <c r="O7" i="16"/>
  <c r="O6"/>
  <c r="O8" i="24"/>
  <c r="P8" s="1"/>
  <c r="O6"/>
  <c r="P6" s="1"/>
  <c r="O7"/>
  <c r="O16" i="28"/>
  <c r="O17"/>
  <c r="P17" s="1"/>
  <c r="O15"/>
  <c r="P6" i="32"/>
  <c r="N26" i="1"/>
  <c r="B39"/>
  <c r="N34" i="2"/>
  <c r="O34" s="1"/>
  <c r="O38" s="1"/>
  <c r="N51"/>
  <c r="O51" s="1"/>
  <c r="N67"/>
  <c r="O67" s="1"/>
  <c r="N74"/>
  <c r="N76"/>
  <c r="O76" s="1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P6" i="4"/>
  <c r="G8"/>
  <c r="T6" i="8"/>
  <c r="T13" s="1"/>
  <c r="O7" i="10"/>
  <c r="O8"/>
  <c r="O9"/>
  <c r="P9" s="1"/>
  <c r="R14"/>
  <c r="O6" i="11"/>
  <c r="P6" s="1"/>
  <c r="O8"/>
  <c r="P8" s="1"/>
  <c r="O9" i="12"/>
  <c r="P9" s="1"/>
  <c r="K4" i="24"/>
  <c r="K4" i="26"/>
  <c r="K4" i="27"/>
  <c r="O16" i="12"/>
  <c r="P16" s="1"/>
  <c r="O14"/>
  <c r="P14" s="1"/>
  <c r="S5" i="13"/>
  <c r="T15"/>
  <c r="O15" i="14"/>
  <c r="O14"/>
  <c r="O17"/>
  <c r="P17" s="1"/>
  <c r="O16"/>
  <c r="N9" i="16"/>
  <c r="P9" s="1"/>
  <c r="N8"/>
  <c r="N6"/>
  <c r="J4"/>
  <c r="N7"/>
  <c r="G9" i="18"/>
  <c r="K4"/>
  <c r="G9" i="20"/>
  <c r="K4"/>
  <c r="R37" i="28"/>
  <c r="T5"/>
  <c r="T37" s="1"/>
  <c r="W37" s="1"/>
  <c r="O26"/>
  <c r="O25"/>
  <c r="P25" s="1"/>
  <c r="O24"/>
  <c r="P23"/>
  <c r="O3"/>
  <c r="P3" s="1"/>
  <c r="N27" i="1"/>
  <c r="N28"/>
  <c r="O3"/>
  <c r="T5"/>
  <c r="N6"/>
  <c r="R19"/>
  <c r="N19" s="1"/>
  <c r="T19"/>
  <c r="S19" s="1"/>
  <c r="R21"/>
  <c r="N34"/>
  <c r="N35"/>
  <c r="N36"/>
  <c r="T15" i="2"/>
  <c r="S15" s="1"/>
  <c r="N26"/>
  <c r="O26" s="1"/>
  <c r="O30" s="1"/>
  <c r="N27"/>
  <c r="O27" s="1"/>
  <c r="D30"/>
  <c r="T21" s="1"/>
  <c r="S21" s="1"/>
  <c r="B31"/>
  <c r="N35"/>
  <c r="O35" s="1"/>
  <c r="N50"/>
  <c r="O50" s="1"/>
  <c r="O54" s="1"/>
  <c r="N66"/>
  <c r="O66" s="1"/>
  <c r="O70" s="1"/>
  <c r="N73"/>
  <c r="O73" s="1"/>
  <c r="M74"/>
  <c r="E59" i="3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62" i="5"/>
  <c r="O8" i="8"/>
  <c r="P8" s="1"/>
  <c r="J4" i="9"/>
  <c r="K4" s="1"/>
  <c r="S5"/>
  <c r="T6"/>
  <c r="T17" s="1"/>
  <c r="O7"/>
  <c r="P7" s="1"/>
  <c r="P12" s="1"/>
  <c r="O8"/>
  <c r="P8" s="1"/>
  <c r="U5" i="10"/>
  <c r="N7"/>
  <c r="T7"/>
  <c r="T14" s="1"/>
  <c r="N8"/>
  <c r="K4" i="11"/>
  <c r="O7"/>
  <c r="P7" s="1"/>
  <c r="G12" i="12"/>
  <c r="N6"/>
  <c r="P6" s="1"/>
  <c r="P11" s="1"/>
  <c r="O7"/>
  <c r="P7" s="1"/>
  <c r="O8"/>
  <c r="P8" s="1"/>
  <c r="S8"/>
  <c r="R13"/>
  <c r="O15"/>
  <c r="P15" s="1"/>
  <c r="O17"/>
  <c r="P17" s="1"/>
  <c r="P8" i="16"/>
  <c r="P11" i="17"/>
  <c r="O9" i="14"/>
  <c r="P9" s="1"/>
  <c r="T9"/>
  <c r="N14"/>
  <c r="N15"/>
  <c r="N23"/>
  <c r="N25"/>
  <c r="R37"/>
  <c r="O6" i="15"/>
  <c r="P6" s="1"/>
  <c r="O8"/>
  <c r="P8" s="1"/>
  <c r="U5" i="16"/>
  <c r="R8"/>
  <c r="R13" s="1"/>
  <c r="T8"/>
  <c r="S8" s="1"/>
  <c r="D14"/>
  <c r="G13" s="1"/>
  <c r="O6" i="19"/>
  <c r="O8"/>
  <c r="O9"/>
  <c r="P9" s="1"/>
  <c r="T20" i="21"/>
  <c r="E35" i="23"/>
  <c r="T6" i="24"/>
  <c r="T17" s="1"/>
  <c r="O15"/>
  <c r="P15" s="1"/>
  <c r="O6" i="25"/>
  <c r="O8"/>
  <c r="O9"/>
  <c r="P9" s="1"/>
  <c r="T22" i="26"/>
  <c r="N16" i="28"/>
  <c r="N26"/>
  <c r="B35"/>
  <c r="J4" s="1"/>
  <c r="O6" i="29"/>
  <c r="P6" s="1"/>
  <c r="O7"/>
  <c r="P7" s="1"/>
  <c r="O9"/>
  <c r="P9" s="1"/>
  <c r="O6" i="30"/>
  <c r="P6" s="1"/>
  <c r="O8"/>
  <c r="P8" s="1"/>
  <c r="O9"/>
  <c r="P9" s="1"/>
  <c r="O7" i="31"/>
  <c r="P7" s="1"/>
  <c r="O8"/>
  <c r="P8" s="1"/>
  <c r="P11"/>
  <c r="S6" i="32"/>
  <c r="O7"/>
  <c r="P7" s="1"/>
  <c r="O9"/>
  <c r="P9" s="1"/>
  <c r="O7" i="33"/>
  <c r="P7" s="1"/>
  <c r="O6" i="34"/>
  <c r="P6" s="1"/>
  <c r="O8"/>
  <c r="P8" s="1"/>
  <c r="O9"/>
  <c r="P9" s="1"/>
  <c r="O7" i="13"/>
  <c r="P7" s="1"/>
  <c r="P12" s="1"/>
  <c r="O8"/>
  <c r="P8" s="1"/>
  <c r="S5" i="14"/>
  <c r="O6"/>
  <c r="P6" s="1"/>
  <c r="P11" s="1"/>
  <c r="T8"/>
  <c r="T37" s="1"/>
  <c r="N16"/>
  <c r="N22"/>
  <c r="O7" i="15"/>
  <c r="P7" s="1"/>
  <c r="O6" i="18"/>
  <c r="P6" s="1"/>
  <c r="O8"/>
  <c r="P8" s="1"/>
  <c r="N6" i="19"/>
  <c r="N8"/>
  <c r="O6" i="20"/>
  <c r="P6" s="1"/>
  <c r="O8"/>
  <c r="P8" s="1"/>
  <c r="C9" i="23"/>
  <c r="O6" s="1"/>
  <c r="P6" s="1"/>
  <c r="R9"/>
  <c r="S9" s="1"/>
  <c r="R24"/>
  <c r="R25"/>
  <c r="N7" i="24"/>
  <c r="O14"/>
  <c r="P14" s="1"/>
  <c r="P20" s="1"/>
  <c r="O16"/>
  <c r="P16" s="1"/>
  <c r="K4" i="25"/>
  <c r="N6"/>
  <c r="N8"/>
  <c r="O6" i="26"/>
  <c r="P6" s="1"/>
  <c r="O7"/>
  <c r="P7" s="1"/>
  <c r="O8"/>
  <c r="P8" s="1"/>
  <c r="O14"/>
  <c r="P14" s="1"/>
  <c r="O15"/>
  <c r="P15" s="1"/>
  <c r="O16"/>
  <c r="P16" s="1"/>
  <c r="O6" i="27"/>
  <c r="P6" s="1"/>
  <c r="P11" s="1"/>
  <c r="C6" i="28"/>
  <c r="N9"/>
  <c r="P9" s="1"/>
  <c r="P11" s="1"/>
  <c r="N15"/>
  <c r="N24"/>
  <c r="T5" i="31"/>
  <c r="S5" i="32"/>
  <c r="T5" s="1"/>
  <c r="T35" s="1"/>
  <c r="W35" s="1"/>
  <c r="O6" i="33"/>
  <c r="P6" s="1"/>
  <c r="P11" s="1"/>
  <c r="O8"/>
  <c r="P8" s="1"/>
  <c r="K4" i="28" l="1"/>
  <c r="T17" i="31"/>
  <c r="S5"/>
  <c r="O25" i="14"/>
  <c r="P25" s="1"/>
  <c r="O23"/>
  <c r="P23" s="1"/>
  <c r="O24"/>
  <c r="P24" s="1"/>
  <c r="O22"/>
  <c r="P22" s="1"/>
  <c r="R22" i="2"/>
  <c r="M57"/>
  <c r="O57" s="1"/>
  <c r="D31"/>
  <c r="T22" s="1"/>
  <c r="T36" s="1"/>
  <c r="T20"/>
  <c r="S20" s="1"/>
  <c r="R20"/>
  <c r="D39" i="1"/>
  <c r="D42" s="1"/>
  <c r="T18"/>
  <c r="S18" s="1"/>
  <c r="R18"/>
  <c r="N10"/>
  <c r="P10" s="1"/>
  <c r="R22"/>
  <c r="L41" i="5"/>
  <c r="M41" s="1"/>
  <c r="M39"/>
  <c r="P11" i="26"/>
  <c r="P11" i="20"/>
  <c r="P11" i="18"/>
  <c r="P11" i="30"/>
  <c r="P6" i="25"/>
  <c r="P6" i="19"/>
  <c r="T13" i="16"/>
  <c r="O3" i="31"/>
  <c r="P24" i="28"/>
  <c r="P26"/>
  <c r="K4" i="16"/>
  <c r="P16" i="14"/>
  <c r="P14"/>
  <c r="P19" i="12"/>
  <c r="P12" i="11"/>
  <c r="P7" i="10"/>
  <c r="O74" i="2"/>
  <c r="O78" s="1"/>
  <c r="N3" i="32"/>
  <c r="O3"/>
  <c r="P3" s="1"/>
  <c r="P7" i="24"/>
  <c r="P7" i="16"/>
  <c r="B42" i="1"/>
  <c r="P11" i="8"/>
  <c r="P27" i="1"/>
  <c r="P35"/>
  <c r="O21"/>
  <c r="P21" s="1"/>
  <c r="O19"/>
  <c r="P19" s="1"/>
  <c r="O20"/>
  <c r="P20" s="1"/>
  <c r="O6"/>
  <c r="N3" s="1"/>
  <c r="M4" i="2"/>
  <c r="O4" s="1"/>
  <c r="H41" i="5"/>
  <c r="I41" s="1"/>
  <c r="K41" s="1"/>
  <c r="H38"/>
  <c r="P19" i="26"/>
  <c r="P11" i="34"/>
  <c r="P11" i="29"/>
  <c r="P8" i="25"/>
  <c r="R37" i="23"/>
  <c r="P8" i="19"/>
  <c r="P11" i="15"/>
  <c r="P3" i="1"/>
  <c r="N3" i="31"/>
  <c r="P28" i="28"/>
  <c r="P15" i="14"/>
  <c r="G35" i="28"/>
  <c r="P8" i="10"/>
  <c r="P11" i="32"/>
  <c r="P15" i="28"/>
  <c r="P16"/>
  <c r="P11" i="24"/>
  <c r="P6" i="16"/>
  <c r="P12" s="1"/>
  <c r="B37" i="2"/>
  <c r="D37"/>
  <c r="G36" s="1"/>
  <c r="P26" i="1"/>
  <c r="P28"/>
  <c r="P36"/>
  <c r="P34"/>
  <c r="P39" s="1"/>
  <c r="H39" i="5" l="1"/>
  <c r="I39" s="1"/>
  <c r="K39" s="1"/>
  <c r="I38"/>
  <c r="K38" s="1"/>
  <c r="J12" i="1"/>
  <c r="J13" s="1"/>
  <c r="J4"/>
  <c r="K4" s="1"/>
  <c r="O12"/>
  <c r="P12" s="1"/>
  <c r="O11"/>
  <c r="O13"/>
  <c r="P13" s="1"/>
  <c r="G7"/>
  <c r="I42"/>
  <c r="N59" i="2"/>
  <c r="O59" s="1"/>
  <c r="N60"/>
  <c r="O60" s="1"/>
  <c r="N58"/>
  <c r="P19" i="14"/>
  <c r="P11" i="25"/>
  <c r="J4" i="2"/>
  <c r="K4" s="1"/>
  <c r="J7"/>
  <c r="J8" s="1"/>
  <c r="K14" i="5"/>
  <c r="M46"/>
  <c r="N11" i="1"/>
  <c r="R32"/>
  <c r="M58" i="2"/>
  <c r="R36"/>
  <c r="P31" i="1"/>
  <c r="P19" i="28"/>
  <c r="P6" i="1"/>
  <c r="P23"/>
  <c r="P11" i="10"/>
  <c r="P3" i="31"/>
  <c r="P11" i="19"/>
  <c r="T22" i="1"/>
  <c r="T32" s="1"/>
  <c r="P27" i="14"/>
  <c r="O58" i="2" l="1"/>
  <c r="O62" s="1"/>
  <c r="P11" i="1"/>
  <c r="P15" s="1"/>
  <c r="J13" i="5"/>
  <c r="O46" l="1"/>
  <c r="P46" s="1"/>
  <c r="J15"/>
  <c r="J16" s="1"/>
  <c r="P11" i="21" l="1"/>
  <c r="P3" l="1"/>
</calcChain>
</file>

<file path=xl/sharedStrings.xml><?xml version="1.0" encoding="utf-8"?>
<sst xmlns="http://schemas.openxmlformats.org/spreadsheetml/2006/main" count="698" uniqueCount="87">
  <si>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</si>
  <si>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</si>
  <si>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</si>
  <si>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</si>
  <si>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</si>
  <si>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</si>
  <si>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</si>
  <si>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</si>
  <si>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</si>
  <si>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</si>
  <si>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</si>
  <si>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</si>
  <si>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</si>
  <si>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</si>
  <si>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</si>
  <si>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</si>
  <si>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</si>
  <si>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</si>
  <si>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</si>
  <si>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</si>
  <si>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</si>
  <si>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</si>
  <si>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</si>
  <si>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</si>
  <si>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</si>
  <si>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</si>
  <si>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</si>
  <si>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</si>
  <si>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</si>
  <si>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</si>
  <si>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</si>
  <si>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</si>
  <si>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</si>
  <si>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</si>
  <si>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</si>
  <si>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</si>
  <si>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</si>
  <si>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</si>
  <si>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</si>
  <si>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</si>
  <si>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</si>
  <si>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</si>
  <si>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</si>
  <si>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</si>
  <si>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</si>
  <si>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</si>
  <si>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</si>
  <si>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</si>
  <si>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</si>
  <si>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</si>
  <si>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</si>
  <si>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</si>
  <si>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</si>
  <si>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</si>
  <si>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</si>
  <si>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</si>
  <si>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</si>
  <si>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</si>
  <si>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</si>
  <si>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</si>
  <si>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</si>
  <si>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</si>
  <si>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</si>
  <si>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</si>
  <si>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</si>
  <si>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</si>
  <si>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</si>
  <si>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</si>
  <si>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</si>
  <si>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</si>
  <si>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</si>
  <si>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</si>
  <si>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</si>
  <si>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</si>
  <si>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</si>
  <si>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</si>
  <si>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</si>
  <si>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</si>
  <si>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</si>
  <si>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</si>
  <si>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</si>
  <si>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</si>
  <si>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</si>
  <si>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NFT Burn</t>
  </si>
  <si>
    <t>DCA2*</t>
  </si>
  <si>
    <t>Ph*</t>
  </si>
  <si>
    <t>DCA1*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</si>
</sst>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0.0000000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170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1" fillId="0" borderId="0" xfId="1"/>
    <xf numFmtId="44" fontId="0" fillId="2" borderId="7" xfId="1" applyFont="1" applyFill="1" applyBorder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1" fontId="0" fillId="0" borderId="0" xfId="0" applyNumberFormat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3" fontId="0" fillId="2" borderId="0" xfId="0" applyNumberFormat="1" applyFill="1"/>
    <xf numFmtId="174" fontId="0" fillId="0" borderId="0" xfId="1" applyNumberFormat="1" applyFont="1"/>
    <xf numFmtId="174" fontId="0" fillId="0" borderId="0" xfId="0" applyNumberFormat="1"/>
    <xf numFmtId="175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30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</c:numCache>
            </c:numRef>
          </c:val>
        </c:ser>
        <c:marker val="1"/>
        <c:axId val="74610176"/>
        <c:axId val="74612096"/>
      </c:lineChart>
      <c:dateAx>
        <c:axId val="74610176"/>
        <c:scaling>
          <c:orientation val="minMax"/>
        </c:scaling>
        <c:axPos val="b"/>
        <c:numFmt formatCode="dd/mm/yy;@" sourceLinked="1"/>
        <c:majorTickMark val="none"/>
        <c:tickLblPos val="nextTo"/>
        <c:crossAx val="74612096"/>
        <c:crosses val="autoZero"/>
        <c:lblOffset val="100"/>
      </c:dateAx>
      <c:valAx>
        <c:axId val="74612096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7461017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2"/>
  <sheetViews>
    <sheetView workbookViewId="0">
      <selection activeCell="B36" sqref="B36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1916.438411475094</v>
      </c>
      <c r="M3" t="s">
        <v>4</v>
      </c>
      <c r="N3">
        <f>(INDEX(N5:N29,MATCH(MAX(O18,O10),O5:O29,0))/0.9)</f>
        <v>5.1611111111111111E-3</v>
      </c>
      <c r="O3" s="39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(B42*J3)</f>
        <v>966.37970712375363</v>
      </c>
      <c r="K4" s="4">
        <f>(J4/D42-1)</f>
        <v>-0.31246855685104225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9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9">
        <v>4000</v>
      </c>
      <c r="T5" s="23">
        <f>(R5*S5)</f>
        <v>1000</v>
      </c>
    </row>
    <row r="6" spans="2:20">
      <c r="B6" s="24">
        <v>5.9999999999999995E-4</v>
      </c>
      <c r="C6" s="39">
        <v>3950</v>
      </c>
      <c r="D6" s="23">
        <f t="shared" si="0"/>
        <v>2.3699999999999997</v>
      </c>
      <c r="M6" t="s">
        <v>4</v>
      </c>
      <c r="N6" s="39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9">
        <v>3950</v>
      </c>
      <c r="T6" s="23">
        <f>(R6*S6)</f>
        <v>2.3699999999999997</v>
      </c>
    </row>
    <row r="7" spans="2:20">
      <c r="B7" s="24">
        <v>3.3999999999999998E-3</v>
      </c>
      <c r="C7" s="39">
        <v>3428</v>
      </c>
      <c r="D7" s="23">
        <f t="shared" si="0"/>
        <v>11.655199999999999</v>
      </c>
      <c r="F7" t="s">
        <v>9</v>
      </c>
      <c r="G7" s="38">
        <f>(D42/B42)</f>
        <v>2787.4192963417477</v>
      </c>
      <c r="R7" s="24">
        <f>(B7)</f>
        <v>3.3999999999999998E-3</v>
      </c>
      <c r="S7" s="39">
        <v>3428</v>
      </c>
      <c r="T7" s="23">
        <f>(R7*S7)</f>
        <v>11.655199999999999</v>
      </c>
    </row>
    <row r="8" spans="2:20">
      <c r="B8" s="24">
        <v>-7.6E-3</v>
      </c>
      <c r="C8" s="38">
        <v>3216.89</v>
      </c>
      <c r="D8" s="23">
        <f t="shared" si="0"/>
        <v>-24.448363999999998</v>
      </c>
      <c r="R8" s="24">
        <f>(B11+B10+B9+B8)</f>
        <v>1.5000000000000005E-3</v>
      </c>
      <c r="S8" s="38">
        <v>0</v>
      </c>
      <c r="T8" s="23">
        <f>(D11+D10+D9+D8)</f>
        <v>-0.15687200000000345</v>
      </c>
    </row>
    <row r="9" spans="2:20">
      <c r="B9" s="24">
        <v>-7.6E-3</v>
      </c>
      <c r="C9" s="38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4.3242599999999999E-3</v>
      </c>
      <c r="S9" s="38">
        <v>0</v>
      </c>
      <c r="T9" s="23">
        <f>(R9*S9)</f>
        <v>0</v>
      </c>
    </row>
    <row r="10" spans="2:20">
      <c r="B10" s="24">
        <v>-7.6E-3</v>
      </c>
      <c r="C10" s="38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9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9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9">
        <v>3010</v>
      </c>
      <c r="D11" s="23">
        <f t="shared" si="0"/>
        <v>73.143000000000001</v>
      </c>
      <c r="I11" t="s">
        <v>11</v>
      </c>
      <c r="J11">
        <v>0.6</v>
      </c>
      <c r="N11">
        <f>(2*($R$18+N10)/5-N10)</f>
        <v>3.3775656000000001E-2</v>
      </c>
      <c r="O11" s="39">
        <f>($S$18*Params!K16)</f>
        <v>3265.7869581465857</v>
      </c>
      <c r="P11" s="23">
        <f>(O11*N11)</f>
        <v>110.30409686764548</v>
      </c>
      <c r="R11" s="24">
        <f>(B21)</f>
        <v>0.01</v>
      </c>
      <c r="S11" s="39">
        <v>1895</v>
      </c>
      <c r="T11" s="23">
        <f>(R11*S11)</f>
        <v>18.95</v>
      </c>
    </row>
    <row r="12" spans="2:20">
      <c r="B12" s="25">
        <v>4.3242599999999999E-3</v>
      </c>
      <c r="C12" s="40">
        <v>0</v>
      </c>
      <c r="D12" s="26">
        <f t="shared" si="0"/>
        <v>0</v>
      </c>
      <c r="E12" s="38">
        <f>(B12*J3)</f>
        <v>8.2871779652052897</v>
      </c>
      <c r="I12" t="s">
        <v>13</v>
      </c>
      <c r="J12">
        <f>(J11-B42)</f>
        <v>9.5741840000000078E-2</v>
      </c>
      <c r="N12">
        <f>($B$35/5)</f>
        <v>1.9210327999999999E-2</v>
      </c>
      <c r="O12" s="39">
        <f>($S$18*Params!K17)</f>
        <v>6531.5739162931714</v>
      </c>
      <c r="P12" s="23">
        <f>(O12*N12)</f>
        <v>125.47367728823636</v>
      </c>
      <c r="R12" s="24">
        <f>(B22)</f>
        <v>0.01</v>
      </c>
      <c r="S12" s="39">
        <v>1890.15</v>
      </c>
      <c r="T12" s="23">
        <f>(R12*S12)</f>
        <v>18.901500000000002</v>
      </c>
    </row>
    <row r="13" spans="2:20">
      <c r="B13" s="24">
        <v>-8.0000000000000002E-3</v>
      </c>
      <c r="C13" s="38">
        <v>2340</v>
      </c>
      <c r="D13" s="23">
        <f t="shared" si="0"/>
        <v>-18.72</v>
      </c>
      <c r="I13" t="s">
        <v>14</v>
      </c>
      <c r="J13" s="38">
        <f>(J12*J3)</f>
        <v>183.48333976130277</v>
      </c>
      <c r="N13">
        <f>($B$35/5)</f>
        <v>1.9210327999999999E-2</v>
      </c>
      <c r="O13" s="39">
        <f>($S$18*Params!K18)</f>
        <v>13063.147832586343</v>
      </c>
      <c r="P13" s="23">
        <f>(O13*N13)</f>
        <v>250.94735457647272</v>
      </c>
      <c r="R13" s="24">
        <f>(B23)</f>
        <v>4.9950000000000001E-2</v>
      </c>
      <c r="S13" s="39">
        <f>(T13/R13)</f>
        <v>1643.6436436436434</v>
      </c>
      <c r="T13" s="23">
        <f>(82.1)</f>
        <v>82.1</v>
      </c>
    </row>
    <row r="14" spans="2:20">
      <c r="B14" s="24">
        <v>-0.01</v>
      </c>
      <c r="C14" s="38">
        <v>2263</v>
      </c>
      <c r="D14" s="23">
        <f t="shared" si="0"/>
        <v>-22.63</v>
      </c>
      <c r="R14" s="24">
        <f>(B24)</f>
        <v>0.01</v>
      </c>
      <c r="S14" s="39">
        <v>1709</v>
      </c>
      <c r="T14" s="23">
        <f>(S14*R14)</f>
        <v>17.09</v>
      </c>
    </row>
    <row r="15" spans="2:20">
      <c r="B15" s="24">
        <v>-8.9999999999999993E-3</v>
      </c>
      <c r="C15" s="38">
        <v>2114</v>
      </c>
      <c r="D15" s="23">
        <f t="shared" si="0"/>
        <v>-19.026</v>
      </c>
      <c r="P15" s="23">
        <f>(SUM(P10:P13))</f>
        <v>494.18035373235455</v>
      </c>
      <c r="R15" s="24">
        <f>(B25)</f>
        <v>0.01</v>
      </c>
      <c r="S15" s="39">
        <v>1617.3</v>
      </c>
      <c r="T15" s="23">
        <f>(S15*R15)</f>
        <v>16.172999999999998</v>
      </c>
    </row>
    <row r="16" spans="2:20">
      <c r="B16" s="24">
        <v>-8.0000000000000002E-3</v>
      </c>
      <c r="C16" s="38">
        <v>2027.47</v>
      </c>
      <c r="D16" s="23">
        <f t="shared" si="0"/>
        <v>-16.219760000000001</v>
      </c>
      <c r="R16" s="24">
        <f>(SUM(B26:B33))</f>
        <v>0</v>
      </c>
      <c r="S16" s="38">
        <v>0</v>
      </c>
      <c r="T16" s="23">
        <f>(SUM(D26:D33))</f>
        <v>-1.1127000000000002</v>
      </c>
    </row>
    <row r="17" spans="2:21">
      <c r="B17" s="24">
        <v>-8.2000000000000007E-3</v>
      </c>
      <c r="C17" s="38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8">
        <f>(T17/R17)</f>
        <v>1219.326523</v>
      </c>
      <c r="T17" s="23">
        <v>-12.19326523</v>
      </c>
    </row>
    <row r="18" spans="2:21">
      <c r="B18" s="24">
        <v>1.6E-2</v>
      </c>
      <c r="C18" s="39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9">
        <f>(C38)</f>
        <v>1605</v>
      </c>
      <c r="P18" s="23">
        <f>(O18*N18)</f>
        <v>1.1315250000000001</v>
      </c>
      <c r="Q18" t="s">
        <v>12</v>
      </c>
      <c r="R18" s="24">
        <f>(B35+B39)</f>
        <v>9.1406639999999997E-2</v>
      </c>
      <c r="S18" s="39">
        <f>(T18/R18)</f>
        <v>1632.8934790732928</v>
      </c>
      <c r="T18" s="23">
        <f>(D35+1283.68*B39)</f>
        <v>149.2573064</v>
      </c>
      <c r="U18" t="s">
        <v>10</v>
      </c>
    </row>
    <row r="19" spans="2:21">
      <c r="B19" s="24">
        <v>1.2E-2</v>
      </c>
      <c r="C19" s="39">
        <f>1/0.0008564</f>
        <v>1167.6786548341897</v>
      </c>
      <c r="D19" s="23">
        <f t="shared" si="0"/>
        <v>14.012143858010276</v>
      </c>
      <c r="N19">
        <f>(2*($R$19+N18)/5-N18)</f>
        <v>7.0551000000000008E-3</v>
      </c>
      <c r="O19" s="39">
        <f>($S$19*Params!K16)</f>
        <v>3359.6583356734996</v>
      </c>
      <c r="P19" s="23">
        <f>(O19*N19)</f>
        <v>23.702725524010109</v>
      </c>
      <c r="R19" s="24">
        <f>(B36+B38)</f>
        <v>1.869525E-2</v>
      </c>
      <c r="S19" s="39">
        <f>(T19/R19)</f>
        <v>1679.8291678367498</v>
      </c>
      <c r="T19" s="23">
        <f>(D36+1269.75*B38)</f>
        <v>31.404826249999996</v>
      </c>
      <c r="U19" t="s">
        <v>15</v>
      </c>
    </row>
    <row r="20" spans="2:21">
      <c r="B20" s="24">
        <v>3.2104290000000001E-2</v>
      </c>
      <c r="C20" s="39">
        <f>D20/B20</f>
        <v>1557.4242570073968</v>
      </c>
      <c r="D20" s="23">
        <v>50</v>
      </c>
      <c r="N20">
        <f>($B$36/5)</f>
        <v>3.8800500000000003E-3</v>
      </c>
      <c r="O20" s="39">
        <f>($S$19*Params!K17)</f>
        <v>6719.3166713469991</v>
      </c>
      <c r="P20" s="23">
        <f>(O20*N20)</f>
        <v>26.071284650659926</v>
      </c>
      <c r="R20" s="24">
        <f>(B37)</f>
        <v>4.1228E-4</v>
      </c>
      <c r="S20" s="39">
        <f>(C37)</f>
        <v>1212.7680217328029</v>
      </c>
      <c r="T20" s="23">
        <f>(D37)</f>
        <v>0.5</v>
      </c>
    </row>
    <row r="21" spans="2:21">
      <c r="B21" s="24">
        <v>0.01</v>
      </c>
      <c r="C21" s="39">
        <v>1895</v>
      </c>
      <c r="D21" s="23">
        <f>B21*C21</f>
        <v>18.95</v>
      </c>
      <c r="N21">
        <f>($B$36/5)</f>
        <v>3.8800500000000003E-3</v>
      </c>
      <c r="O21" s="39">
        <f>($S$19*Params!K18)</f>
        <v>13438.633342693998</v>
      </c>
      <c r="P21" s="23">
        <f>(O21*N21)</f>
        <v>52.142569301319853</v>
      </c>
      <c r="R21" s="24">
        <f>(B38-B38)</f>
        <v>0</v>
      </c>
      <c r="S21" s="38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9">
        <v>1890.15</v>
      </c>
      <c r="D22" s="23">
        <f>B22*C22</f>
        <v>18.901500000000002</v>
      </c>
      <c r="R22" s="24">
        <f>(B39-B39)</f>
        <v>0</v>
      </c>
      <c r="S22" s="38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9">
        <f>D23/B23</f>
        <v>1643.6436436436434</v>
      </c>
      <c r="D23" s="23">
        <f>82.1</f>
        <v>82.1</v>
      </c>
      <c r="P23" s="23">
        <f>(SUM(P18:P21))</f>
        <v>103.04810447598989</v>
      </c>
      <c r="R23" s="24">
        <f>(B40)</f>
        <v>3.7065439999999998E-2</v>
      </c>
      <c r="S23" s="39">
        <f>(T23/R23)</f>
        <v>1830.5461907372473</v>
      </c>
      <c r="T23" s="23">
        <f>(D40)</f>
        <v>67.849999999999994</v>
      </c>
      <c r="U23" t="s">
        <v>18</v>
      </c>
    </row>
    <row r="24" spans="2:21">
      <c r="B24" s="24">
        <v>0.01</v>
      </c>
      <c r="C24" s="39">
        <v>1709</v>
      </c>
      <c r="D24" s="23">
        <f>C24*B24</f>
        <v>17.09</v>
      </c>
    </row>
    <row r="25" spans="2:21">
      <c r="B25" s="24">
        <v>0.01</v>
      </c>
      <c r="C25" s="39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8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9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9">
        <v>1500</v>
      </c>
      <c r="D27" s="23">
        <f>(C27*B27)</f>
        <v>15</v>
      </c>
      <c r="N27" s="24">
        <f>($R$20/5)</f>
        <v>8.2455999999999998E-5</v>
      </c>
      <c r="O27" s="39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8">
        <f>(D28/B28)</f>
        <v>1443</v>
      </c>
      <c r="D28" s="23">
        <v>-14.43</v>
      </c>
      <c r="N28" s="24">
        <f>($R$20/5)</f>
        <v>8.2455999999999998E-5</v>
      </c>
      <c r="O28" s="39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9">
        <v>1428.89</v>
      </c>
      <c r="D29" s="23">
        <f>(C29*B29)</f>
        <v>14.288900000000002</v>
      </c>
      <c r="N29" s="24">
        <f>($R$20/5)</f>
        <v>8.2455999999999998E-5</v>
      </c>
      <c r="O29" s="39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8">
        <v>1402.5</v>
      </c>
      <c r="D30" s="23">
        <f>(C30*B30)</f>
        <v>-14.025</v>
      </c>
    </row>
    <row r="31" spans="2:21">
      <c r="B31" s="24">
        <v>0.01</v>
      </c>
      <c r="C31" s="39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8">
        <v>1286.6600000000001</v>
      </c>
      <c r="D32" s="23">
        <f>(C32*B32)</f>
        <v>-12.866600000000002</v>
      </c>
      <c r="R32">
        <f>(SUM(R5:R31))</f>
        <v>0.50425816000000001</v>
      </c>
      <c r="T32" s="23">
        <f>(SUM(T5:T31))</f>
        <v>1405.5789255217842</v>
      </c>
    </row>
    <row r="33" spans="2:16">
      <c r="B33" s="24">
        <v>0.01</v>
      </c>
      <c r="C33" s="39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8">
        <f>(D34/B34)</f>
        <v>1219.326523</v>
      </c>
      <c r="D34" s="23">
        <v>-12.19326523</v>
      </c>
      <c r="M34" t="s">
        <v>11</v>
      </c>
      <c r="N34">
        <f>($R$23/5)</f>
        <v>7.413088E-3</v>
      </c>
      <c r="O34" s="39">
        <f>($S$23*Params!K15)</f>
        <v>2745.819286105871</v>
      </c>
      <c r="P34" s="23">
        <f>(O34*N34)</f>
        <v>20.355</v>
      </c>
    </row>
    <row r="35" spans="2:16">
      <c r="B35" s="24">
        <v>9.6051639999999994E-2</v>
      </c>
      <c r="C35" s="39">
        <f>(D35/B35)</f>
        <v>1616.0057235878535</v>
      </c>
      <c r="D35" s="23">
        <v>155.22</v>
      </c>
      <c r="E35" t="s">
        <v>10</v>
      </c>
      <c r="N35">
        <f>($R$23/5)</f>
        <v>7.413088E-3</v>
      </c>
      <c r="O35" s="39">
        <f>($S$23*Params!K16)</f>
        <v>3661.0923814744947</v>
      </c>
      <c r="P35" s="23">
        <f>(O35*N35)</f>
        <v>27.139999999999997</v>
      </c>
    </row>
    <row r="36" spans="2:16">
      <c r="B36" s="24">
        <v>1.9400250000000001E-2</v>
      </c>
      <c r="C36" s="39">
        <f>(D36/B36)</f>
        <v>1664.9269983634229</v>
      </c>
      <c r="D36" s="23">
        <v>32.299999999999997</v>
      </c>
      <c r="E36" t="s">
        <v>15</v>
      </c>
      <c r="N36">
        <f>($R$23/5)</f>
        <v>7.413088E-3</v>
      </c>
      <c r="O36" s="39">
        <f>($S$23*Params!K17)</f>
        <v>7322.1847629489894</v>
      </c>
      <c r="P36" s="23">
        <f>(O36*N36)</f>
        <v>54.279999999999994</v>
      </c>
    </row>
    <row r="37" spans="2:16">
      <c r="B37" s="24">
        <v>4.1228E-4</v>
      </c>
      <c r="C37" s="39">
        <f>(D37/B37)</f>
        <v>1212.7680217328029</v>
      </c>
      <c r="D37" s="23">
        <v>0.5</v>
      </c>
      <c r="N37">
        <f>($R$23/5)</f>
        <v>7.413088E-3</v>
      </c>
      <c r="O37" s="39">
        <f>($S$23*Params!K18)</f>
        <v>14644.369525897979</v>
      </c>
      <c r="P37" s="23">
        <f>(O37*N37)</f>
        <v>108.55999999999999</v>
      </c>
    </row>
    <row r="38" spans="2:16">
      <c r="B38" s="24">
        <f>(-0.000705)</f>
        <v>-7.0500000000000001E-4</v>
      </c>
      <c r="C38" s="38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8">
        <v>1605</v>
      </c>
      <c r="D39" s="23">
        <f>(C39*B39)</f>
        <v>-7.4552249999999995</v>
      </c>
      <c r="P39" s="23">
        <f>(SUM(P34:P37))</f>
        <v>210.33499999999998</v>
      </c>
    </row>
    <row r="40" spans="2:16">
      <c r="B40" s="24">
        <v>3.7065439999999998E-2</v>
      </c>
      <c r="C40" s="39">
        <f>(D40/B40)</f>
        <v>1830.5461907372473</v>
      </c>
      <c r="D40" s="23">
        <v>67.849999999999994</v>
      </c>
      <c r="E40" t="s">
        <v>18</v>
      </c>
    </row>
    <row r="42" spans="2:16">
      <c r="B42">
        <f>(SUM(B5:B41))</f>
        <v>0.5042581599999999</v>
      </c>
      <c r="D42" s="23">
        <f>(SUM(D5:D41))</f>
        <v>1405.5789255217842</v>
      </c>
      <c r="H42" t="s">
        <v>9</v>
      </c>
      <c r="I42" s="39">
        <f>D42/B42</f>
        <v>2787.4192963417477</v>
      </c>
    </row>
  </sheetData>
  <conditionalFormatting sqref="C5:C7 C11 C18:C24">
    <cfRule type="cellIs" dxfId="301" priority="37" operator="lessThan">
      <formula>$J$3</formula>
    </cfRule>
    <cfRule type="cellIs" dxfId="300" priority="38" operator="greaterThan">
      <formula>$J$3</formula>
    </cfRule>
  </conditionalFormatting>
  <conditionalFormatting sqref="C25">
    <cfRule type="cellIs" dxfId="299" priority="35" operator="lessThan">
      <formula>$J$3</formula>
    </cfRule>
    <cfRule type="cellIs" dxfId="298" priority="36" operator="greaterThan">
      <formula>$J$3</formula>
    </cfRule>
  </conditionalFormatting>
  <conditionalFormatting sqref="C27">
    <cfRule type="cellIs" dxfId="297" priority="33" operator="lessThan">
      <formula>$J$3</formula>
    </cfRule>
    <cfRule type="cellIs" dxfId="296" priority="34" operator="greaterThan">
      <formula>$J$3</formula>
    </cfRule>
  </conditionalFormatting>
  <conditionalFormatting sqref="C29">
    <cfRule type="cellIs" dxfId="295" priority="31" operator="lessThan">
      <formula>$J$3</formula>
    </cfRule>
    <cfRule type="cellIs" dxfId="294" priority="32" operator="greaterThan">
      <formula>$J$3</formula>
    </cfRule>
  </conditionalFormatting>
  <conditionalFormatting sqref="C31">
    <cfRule type="cellIs" dxfId="293" priority="29" operator="lessThan">
      <formula>$J$3</formula>
    </cfRule>
    <cfRule type="cellIs" dxfId="292" priority="30" operator="greaterThan">
      <formula>$J$3</formula>
    </cfRule>
  </conditionalFormatting>
  <conditionalFormatting sqref="C33">
    <cfRule type="cellIs" dxfId="291" priority="27" operator="lessThan">
      <formula>$J$3</formula>
    </cfRule>
    <cfRule type="cellIs" dxfId="290" priority="28" operator="greaterThan">
      <formula>$J$3</formula>
    </cfRule>
  </conditionalFormatting>
  <conditionalFormatting sqref="C35:C37">
    <cfRule type="cellIs" dxfId="289" priority="25" operator="lessThan">
      <formula>$J$3</formula>
    </cfRule>
    <cfRule type="cellIs" dxfId="288" priority="26" operator="greaterThan">
      <formula>$J$3</formula>
    </cfRule>
  </conditionalFormatting>
  <conditionalFormatting sqref="C40">
    <cfRule type="cellIs" dxfId="287" priority="23" operator="lessThan">
      <formula>$J$3</formula>
    </cfRule>
    <cfRule type="cellIs" dxfId="286" priority="24" operator="greaterThan">
      <formula>$J$3</formula>
    </cfRule>
  </conditionalFormatting>
  <conditionalFormatting sqref="I42">
    <cfRule type="cellIs" dxfId="285" priority="21" operator="lessThan">
      <formula>$J$3</formula>
    </cfRule>
    <cfRule type="cellIs" dxfId="284" priority="22" operator="greaterThan">
      <formula>$J$3</formula>
    </cfRule>
  </conditionalFormatting>
  <conditionalFormatting sqref="O11:O13">
    <cfRule type="cellIs" dxfId="283" priority="19" operator="lessThan">
      <formula>$J$3</formula>
    </cfRule>
    <cfRule type="cellIs" dxfId="282" priority="20" operator="greaterThan">
      <formula>$J$3</formula>
    </cfRule>
  </conditionalFormatting>
  <conditionalFormatting sqref="O19:O21">
    <cfRule type="cellIs" dxfId="281" priority="17" operator="lessThan">
      <formula>$J$3</formula>
    </cfRule>
    <cfRule type="cellIs" dxfId="280" priority="18" operator="greaterThan">
      <formula>$J$3</formula>
    </cfRule>
  </conditionalFormatting>
  <conditionalFormatting sqref="O26:O29">
    <cfRule type="cellIs" dxfId="279" priority="15" operator="lessThan">
      <formula>$J$3</formula>
    </cfRule>
    <cfRule type="cellIs" dxfId="278" priority="16" operator="greaterThan">
      <formula>$J$3</formula>
    </cfRule>
  </conditionalFormatting>
  <conditionalFormatting sqref="O34:O37">
    <cfRule type="cellIs" dxfId="277" priority="13" operator="lessThan">
      <formula>$J$3</formula>
    </cfRule>
    <cfRule type="cellIs" dxfId="276" priority="14" operator="greaterThan">
      <formula>$J$3</formula>
    </cfRule>
  </conditionalFormatting>
  <conditionalFormatting sqref="N6">
    <cfRule type="cellIs" dxfId="275" priority="11" operator="lessThan">
      <formula>$J$3</formula>
    </cfRule>
    <cfRule type="cellIs" dxfId="274" priority="12" operator="greaterThan">
      <formula>$J$3</formula>
    </cfRule>
  </conditionalFormatting>
  <conditionalFormatting sqref="O3">
    <cfRule type="cellIs" dxfId="273" priority="9" operator="greaterThan">
      <formula>$J$3</formula>
    </cfRule>
    <cfRule type="cellIs" dxfId="272" priority="10" operator="lessThan">
      <formula>$J$3</formula>
    </cfRule>
  </conditionalFormatting>
  <conditionalFormatting sqref="S5:S7">
    <cfRule type="cellIs" dxfId="271" priority="7" operator="lessThan">
      <formula>$J$3</formula>
    </cfRule>
    <cfRule type="cellIs" dxfId="270" priority="8" operator="greaterThan">
      <formula>$J$3</formula>
    </cfRule>
  </conditionalFormatting>
  <conditionalFormatting sqref="S10:S15">
    <cfRule type="cellIs" dxfId="269" priority="5" operator="lessThan">
      <formula>$J$3</formula>
    </cfRule>
    <cfRule type="cellIs" dxfId="268" priority="6" operator="greaterThan">
      <formula>$J$3</formula>
    </cfRule>
  </conditionalFormatting>
  <conditionalFormatting sqref="S18:S20">
    <cfRule type="cellIs" dxfId="267" priority="3" operator="lessThan">
      <formula>$J$3</formula>
    </cfRule>
    <cfRule type="cellIs" dxfId="266" priority="4" operator="greaterThan">
      <formula>$J$3</formula>
    </cfRule>
  </conditionalFormatting>
  <conditionalFormatting sqref="S23">
    <cfRule type="cellIs" dxfId="265" priority="1" operator="lessThan">
      <formula>$J$3</formula>
    </cfRule>
    <cfRule type="cellIs" dxfId="264" priority="2" operator="greaterThan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J4" sqref="J4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17.274347180000003</v>
      </c>
      <c r="K4" s="4">
        <f>(J4/D14-1)</f>
        <v>-0.46203294645888726</v>
      </c>
      <c r="R4" t="s">
        <v>5</v>
      </c>
      <c r="S4" t="s">
        <v>6</v>
      </c>
      <c r="T4" t="s">
        <v>7</v>
      </c>
    </row>
    <row r="5" spans="2:21">
      <c r="B5" s="29">
        <v>8.1728803699999997</v>
      </c>
      <c r="C5" s="38">
        <f>(D5/B5)</f>
        <v>3.9520950433292588</v>
      </c>
      <c r="D5" s="38">
        <v>32.299999999999997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0">
        <f>(B6)</f>
        <v>0.39835147999999998</v>
      </c>
      <c r="S5" s="40">
        <v>0</v>
      </c>
      <c r="T5" s="26">
        <f>(D6)</f>
        <v>0</v>
      </c>
      <c r="U5" s="38">
        <f>(R5*J3)</f>
        <v>0.79670295999999996</v>
      </c>
    </row>
    <row r="6" spans="2:21">
      <c r="B6" s="36">
        <v>0.39835147999999998</v>
      </c>
      <c r="C6" s="40">
        <v>0</v>
      </c>
      <c r="D6" s="26">
        <f>(B6*C6)</f>
        <v>0</v>
      </c>
      <c r="E6" s="38">
        <f>(B6*J3)</f>
        <v>0.79670295999999996</v>
      </c>
      <c r="M6" t="s">
        <v>11</v>
      </c>
      <c r="N6" s="29">
        <f>(SUM(R5:R7)/5)</f>
        <v>1.727434718</v>
      </c>
      <c r="O6" s="38">
        <f>($C$5*Params!K8)</f>
        <v>5.1377235563280363</v>
      </c>
      <c r="P6" s="38">
        <f>(O6*N6)</f>
        <v>8.8750820426874792</v>
      </c>
      <c r="R6" s="29">
        <f>(B5)</f>
        <v>8.1728803699999997</v>
      </c>
      <c r="S6" s="38">
        <f>(T6/R6)</f>
        <v>3.9520950433292588</v>
      </c>
      <c r="T6" s="38">
        <f>(D5)</f>
        <v>32.299999999999997</v>
      </c>
      <c r="U6" t="s">
        <v>15</v>
      </c>
    </row>
    <row r="7" spans="2:21">
      <c r="B7" s="29">
        <v>-0.2273</v>
      </c>
      <c r="C7" s="38">
        <f t="shared" ref="C7:C12" si="0">(D7/B7)</f>
        <v>4.95</v>
      </c>
      <c r="D7" s="38">
        <v>-1.125135</v>
      </c>
      <c r="N7" s="29">
        <f>(SUM(R5:R7)/5)</f>
        <v>1.727434718</v>
      </c>
      <c r="O7" s="38">
        <f>($C$5*Params!K9)</f>
        <v>6.3233520693268144</v>
      </c>
      <c r="P7" s="38">
        <f>(O7*N7)</f>
        <v>10.923177898692282</v>
      </c>
      <c r="R7" s="29">
        <f>(SUM(B7:B12))</f>
        <v>6.5941739999999971E-2</v>
      </c>
      <c r="S7" s="38">
        <v>0</v>
      </c>
      <c r="T7" s="38">
        <f>(SUM(D7:D12))</f>
        <v>-0.18958158999999997</v>
      </c>
    </row>
    <row r="8" spans="2:21">
      <c r="B8" s="29">
        <v>-0.30499999999999999</v>
      </c>
      <c r="C8" s="38">
        <f t="shared" si="0"/>
        <v>6.2656189508196727</v>
      </c>
      <c r="D8" s="38">
        <v>-1.91101378</v>
      </c>
      <c r="N8" s="29">
        <f>(SUM(R5:R7)/5)</f>
        <v>1.727434718</v>
      </c>
      <c r="O8" s="38">
        <f>($C$5*Params!K10)</f>
        <v>8.6946090953243704</v>
      </c>
      <c r="P8" s="38">
        <f>(O8*N8)</f>
        <v>15.01936961070189</v>
      </c>
    </row>
    <row r="9" spans="2:21">
      <c r="B9" s="29">
        <v>0.34203370999999999</v>
      </c>
      <c r="C9" s="38">
        <f t="shared" si="0"/>
        <v>5.2626391708583347</v>
      </c>
      <c r="D9" s="38">
        <v>1.8</v>
      </c>
      <c r="N9" s="29">
        <f>(SUM(R5:R7)/5)</f>
        <v>1.727434718</v>
      </c>
      <c r="O9" s="38">
        <f>($C$5*Params!K11)</f>
        <v>15.808380173317035</v>
      </c>
      <c r="P9" s="38">
        <f>(O9*N9)</f>
        <v>27.307944746730705</v>
      </c>
    </row>
    <row r="10" spans="2:21">
      <c r="B10" s="29">
        <v>0.25620802999999998</v>
      </c>
      <c r="C10" s="38">
        <f t="shared" si="0"/>
        <v>4.1372629889859427</v>
      </c>
      <c r="D10" s="38">
        <v>1.06</v>
      </c>
    </row>
    <row r="11" spans="2:21">
      <c r="B11" s="29">
        <v>-0.4</v>
      </c>
      <c r="C11" s="38">
        <f t="shared" si="0"/>
        <v>4.1562849000000002</v>
      </c>
      <c r="D11" s="38">
        <v>-1.6625139600000001</v>
      </c>
      <c r="P11" s="38">
        <f>(SUM(P6:P9))</f>
        <v>62.12557429881236</v>
      </c>
    </row>
    <row r="12" spans="2:21">
      <c r="B12" s="29">
        <v>0.4</v>
      </c>
      <c r="C12" s="38">
        <f t="shared" si="0"/>
        <v>4.1227028749999999</v>
      </c>
      <c r="D12" s="38">
        <f>(1.64908115)</f>
        <v>1.64908115</v>
      </c>
    </row>
    <row r="13" spans="2:21">
      <c r="F13" t="s">
        <v>9</v>
      </c>
      <c r="G13" s="38">
        <f>(D14/B14)</f>
        <v>3.7176997863255861</v>
      </c>
    </row>
    <row r="14" spans="2:21">
      <c r="B14" s="29">
        <f>(SUM(B5:B13))</f>
        <v>8.6371735900000015</v>
      </c>
      <c r="D14" s="38">
        <f>(SUM(D5:D13))</f>
        <v>32.110418410000001</v>
      </c>
      <c r="R14" s="29">
        <f>(SUM(R5:R13))</f>
        <v>8.6371735899999997</v>
      </c>
      <c r="T14" s="38">
        <f>(SUM(T5:T13))</f>
        <v>32.110418409999994</v>
      </c>
    </row>
    <row r="22" spans="4:4">
      <c r="D22" s="29"/>
    </row>
  </sheetData>
  <conditionalFormatting sqref="C5 C7:C12">
    <cfRule type="cellIs" dxfId="201" priority="7" operator="lessThan">
      <formula>$J$3</formula>
    </cfRule>
    <cfRule type="cellIs" dxfId="200" priority="8" operator="greaterThan">
      <formula>$J$3</formula>
    </cfRule>
  </conditionalFormatting>
  <conditionalFormatting sqref="O6:O9">
    <cfRule type="cellIs" dxfId="199" priority="5" operator="lessThan">
      <formula>$J$3</formula>
    </cfRule>
    <cfRule type="cellIs" dxfId="198" priority="6" operator="greaterThan">
      <formula>$J$3</formula>
    </cfRule>
  </conditionalFormatting>
  <conditionalFormatting sqref="S6:S7">
    <cfRule type="cellIs" dxfId="197" priority="3" operator="lessThan">
      <formula>$J$3</formula>
    </cfRule>
    <cfRule type="cellIs" dxfId="196" priority="4" operator="greaterThan">
      <formula>$J$3</formula>
    </cfRule>
  </conditionalFormatting>
  <conditionalFormatting sqref="G13">
    <cfRule type="cellIs" dxfId="195" priority="1" operator="lessThan">
      <formula>$J$3</formula>
    </cfRule>
    <cfRule type="cellIs" dxfId="194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J4" sqref="J4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9.56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(B14*J3)</f>
        <v>11.555740724400001</v>
      </c>
      <c r="K4" s="4">
        <f>(J4/D14-1)</f>
        <v>5.7249837548033033E-2</v>
      </c>
    </row>
    <row r="5" spans="2:16">
      <c r="B5" s="29">
        <v>1.1100000000000001</v>
      </c>
      <c r="C5" s="38">
        <f>(D5/B5)</f>
        <v>9.8468468468468462</v>
      </c>
      <c r="D5" s="38">
        <v>10.93</v>
      </c>
      <c r="N5" t="s">
        <v>29</v>
      </c>
      <c r="O5" t="s">
        <v>1</v>
      </c>
      <c r="P5" t="s">
        <v>2</v>
      </c>
    </row>
    <row r="6" spans="2:16">
      <c r="B6" s="29">
        <v>8.7936070000000005E-2</v>
      </c>
      <c r="C6" s="38">
        <v>0</v>
      </c>
      <c r="D6" s="38">
        <f>(B6*C6)</f>
        <v>0</v>
      </c>
      <c r="E6" s="38">
        <f>(B6*J3)</f>
        <v>0.84066882920000008</v>
      </c>
      <c r="M6" t="s">
        <v>11</v>
      </c>
      <c r="N6" s="1">
        <f>(SUM($B$5:$B$7)/5)</f>
        <v>0.24175189800000002</v>
      </c>
      <c r="O6" s="38">
        <f>($C$5*Params!K8)</f>
        <v>12.800900900900901</v>
      </c>
      <c r="P6" s="38">
        <f>(O6*N6)</f>
        <v>3.0946420889027029</v>
      </c>
    </row>
    <row r="7" spans="2:16">
      <c r="B7" s="36">
        <v>1.082342E-2</v>
      </c>
      <c r="C7" s="40">
        <v>0</v>
      </c>
      <c r="D7" s="26">
        <f>(C7*B7)</f>
        <v>0</v>
      </c>
      <c r="E7" s="38">
        <f>(B7*J4)</f>
        <v>0.12507263527128545</v>
      </c>
      <c r="N7" s="1">
        <f>(SUM($B$5:$B$7)/5)</f>
        <v>0.24175189800000002</v>
      </c>
      <c r="O7" s="38">
        <f>($C$5*Params!K9)</f>
        <v>15.754954954954954</v>
      </c>
      <c r="P7" s="38">
        <f>(O7*N7)</f>
        <v>3.8087902632648651</v>
      </c>
    </row>
    <row r="8" spans="2:16">
      <c r="N8" s="1">
        <f>(SUM($B$5:$B$7)/5)</f>
        <v>0.24175189800000002</v>
      </c>
      <c r="O8" s="38">
        <f>($C$5*Params!K10)</f>
        <v>21.663063063063063</v>
      </c>
      <c r="P8" s="38">
        <f>(O8*N8)</f>
        <v>5.2370866119891897</v>
      </c>
    </row>
    <row r="9" spans="2:16">
      <c r="N9" s="1">
        <f>(SUM($B$5:$B$7)/5)</f>
        <v>0.24175189800000002</v>
      </c>
      <c r="O9" s="38">
        <f>($C$5*Params!K11)</f>
        <v>39.387387387387385</v>
      </c>
      <c r="P9" s="38">
        <f>(O9*N9)</f>
        <v>9.5219756581621624</v>
      </c>
    </row>
    <row r="12" spans="2:16">
      <c r="P12" s="38">
        <f>(SUM(P6:P9))</f>
        <v>21.662494622318921</v>
      </c>
    </row>
    <row r="13" spans="2:16">
      <c r="F13" t="s">
        <v>9</v>
      </c>
      <c r="G13" s="38">
        <f>(D14/B14)</f>
        <v>9.0423281806043967</v>
      </c>
    </row>
    <row r="14" spans="2:16">
      <c r="B14" s="19">
        <f>(SUM(B5:B13))</f>
        <v>1.20875949</v>
      </c>
      <c r="D14" s="38">
        <f>(SUM(D5:D13))</f>
        <v>10.93</v>
      </c>
    </row>
  </sheetData>
  <conditionalFormatting sqref="C5">
    <cfRule type="cellIs" dxfId="193" priority="5" operator="lessThan">
      <formula>$J$3</formula>
    </cfRule>
    <cfRule type="cellIs" dxfId="192" priority="6" operator="greaterThan">
      <formula>$J$3</formula>
    </cfRule>
  </conditionalFormatting>
  <conditionalFormatting sqref="O6:O9">
    <cfRule type="cellIs" dxfId="191" priority="3" operator="lessThan">
      <formula>$J$3</formula>
    </cfRule>
    <cfRule type="cellIs" dxfId="190" priority="4" operator="greaterThan">
      <formula>$J$3</formula>
    </cfRule>
  </conditionalFormatting>
  <conditionalFormatting sqref="G13">
    <cfRule type="cellIs" dxfId="189" priority="1" operator="lessThan">
      <formula>$J$3</formula>
    </cfRule>
    <cfRule type="cellIs" dxfId="188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U19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3" spans="2:21">
      <c r="I3" t="s">
        <v>3</v>
      </c>
      <c r="J3" s="38">
        <v>14.40373923834581</v>
      </c>
      <c r="N3" s="24"/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37.004762571372481</v>
      </c>
      <c r="K4" s="4">
        <f>(J4/D13-1)</f>
        <v>-7.1779405178272082E-2</v>
      </c>
      <c r="R4" t="s">
        <v>5</v>
      </c>
      <c r="S4" t="s">
        <v>6</v>
      </c>
      <c r="T4" t="s">
        <v>7</v>
      </c>
    </row>
    <row r="5" spans="2:21">
      <c r="B5" s="24">
        <v>2.0279041100000001</v>
      </c>
      <c r="C5" s="38">
        <f>(D5/B5)</f>
        <v>15.927774809825694</v>
      </c>
      <c r="D5" s="38">
        <v>32.299999999999997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1.0226020000000001E-2</v>
      </c>
      <c r="S5" s="40">
        <v>0</v>
      </c>
      <c r="T5" s="26">
        <f>(D6)</f>
        <v>0</v>
      </c>
      <c r="U5" s="38">
        <f>(R5*J3)</f>
        <v>0.14729292552610904</v>
      </c>
    </row>
    <row r="6" spans="2:21">
      <c r="B6" s="25">
        <v>1.0226020000000001E-2</v>
      </c>
      <c r="C6" s="40">
        <v>0</v>
      </c>
      <c r="D6" s="26">
        <f>(B6*C6)</f>
        <v>0</v>
      </c>
      <c r="E6" s="38">
        <f>(B6*J3)</f>
        <v>0.14729292552610904</v>
      </c>
      <c r="M6" t="s">
        <v>11</v>
      </c>
      <c r="N6" s="24">
        <f>($B$5+$R$7)/5</f>
        <v>0.41204023800000006</v>
      </c>
      <c r="O6" s="38">
        <f>($C$5*Params!K8)</f>
        <v>20.706107252773403</v>
      </c>
      <c r="P6" s="38">
        <f>(O6*N6)</f>
        <v>8.5317493604862804</v>
      </c>
      <c r="R6" s="24">
        <f>B5</f>
        <v>2.0279041100000001</v>
      </c>
      <c r="S6" s="38">
        <f>(T6/R6)</f>
        <v>15.927774809825694</v>
      </c>
      <c r="T6" s="38">
        <f>D5</f>
        <v>32.299999999999997</v>
      </c>
      <c r="U6" t="s">
        <v>15</v>
      </c>
    </row>
    <row r="7" spans="2:21">
      <c r="B7" s="24">
        <v>-7.17E-2</v>
      </c>
      <c r="C7" s="38">
        <f>(D7/B7)</f>
        <v>15.79</v>
      </c>
      <c r="D7" s="38">
        <v>-1.1321429999999999</v>
      </c>
      <c r="N7" s="24">
        <f>($B$5+$R$7)/5</f>
        <v>0.41204023800000006</v>
      </c>
      <c r="O7" s="38">
        <f>($C$5*Params!K9)</f>
        <v>25.484439695721111</v>
      </c>
      <c r="P7" s="38">
        <f>(O7*N7)</f>
        <v>10.500614597521576</v>
      </c>
      <c r="R7" s="24">
        <f>(B7+B11+B8+B9)</f>
        <v>3.2297079999999992E-2</v>
      </c>
      <c r="S7" s="38">
        <v>0</v>
      </c>
      <c r="T7" s="38">
        <f>D7+D11+D8+D9</f>
        <v>-0.2036548899999997</v>
      </c>
      <c r="U7" t="s">
        <v>80</v>
      </c>
    </row>
    <row r="8" spans="2:21">
      <c r="B8">
        <v>-0.114356</v>
      </c>
      <c r="C8" s="38">
        <f>(D8/B8)</f>
        <v>20.563082741613908</v>
      </c>
      <c r="D8" s="38">
        <v>-2.3515118899999998</v>
      </c>
      <c r="N8" s="24">
        <f>($B$5+$R$7)/5</f>
        <v>0.41204023800000006</v>
      </c>
      <c r="O8" s="38">
        <f>($C$5*Params!K10)</f>
        <v>35.04110458161653</v>
      </c>
      <c r="P8" s="38">
        <f>(O8*N8)</f>
        <v>14.438345071592167</v>
      </c>
      <c r="R8" s="24">
        <f>(B10)</f>
        <v>0.49868085000000001</v>
      </c>
      <c r="S8" s="38">
        <f>(T8/R8)</f>
        <v>15.581107636276787</v>
      </c>
      <c r="T8" s="38">
        <f>(D10)</f>
        <v>7.77</v>
      </c>
      <c r="U8" t="str">
        <f>E10</f>
        <v>DCA4</v>
      </c>
    </row>
    <row r="9" spans="2:21">
      <c r="B9" s="24">
        <v>0.12727869999999999</v>
      </c>
      <c r="C9" s="38">
        <f>(D9/B9)</f>
        <v>17.442038612902241</v>
      </c>
      <c r="D9" s="38">
        <v>2.2200000000000002</v>
      </c>
      <c r="N9" s="24">
        <f>($B$5+$R$7)/5</f>
        <v>0.41204023800000006</v>
      </c>
      <c r="O9" s="38">
        <f>($C$5*Params!K11)</f>
        <v>63.711099239302776</v>
      </c>
      <c r="P9" s="38">
        <f>(O9*N9)</f>
        <v>26.25153649380394</v>
      </c>
    </row>
    <row r="10" spans="2:21">
      <c r="B10" s="24">
        <v>0.49868085000000001</v>
      </c>
      <c r="C10" s="38">
        <f>(D10/B10)</f>
        <v>15.581107636276787</v>
      </c>
      <c r="D10" s="38">
        <v>7.77</v>
      </c>
      <c r="E10" t="s">
        <v>81</v>
      </c>
    </row>
    <row r="11" spans="2:21">
      <c r="B11" s="24">
        <v>9.1074379999999996E-2</v>
      </c>
      <c r="C11" s="38">
        <f>(D11/B11)</f>
        <v>11.638838496622212</v>
      </c>
      <c r="D11" s="38">
        <v>1.06</v>
      </c>
      <c r="P11" s="38">
        <f>(SUM(P6:P9))</f>
        <v>59.722245523403963</v>
      </c>
    </row>
    <row r="12" spans="2:21">
      <c r="F12" t="s">
        <v>9</v>
      </c>
      <c r="G12" s="38">
        <f>(D13/B13)</f>
        <v>15.517582047521971</v>
      </c>
    </row>
    <row r="13" spans="2:21">
      <c r="B13" s="24">
        <f>(SUM(B5:B12))</f>
        <v>2.56910806</v>
      </c>
      <c r="D13" s="38">
        <f>(SUM(D5:D12))</f>
        <v>39.866345109999997</v>
      </c>
      <c r="M13" t="s">
        <v>81</v>
      </c>
      <c r="N13" t="s">
        <v>29</v>
      </c>
      <c r="O13" t="s">
        <v>1</v>
      </c>
      <c r="P13" t="s">
        <v>2</v>
      </c>
      <c r="R13" s="24">
        <f>(SUM(R5:R12))</f>
        <v>2.5691080600000005</v>
      </c>
      <c r="T13" s="38">
        <f>(SUM(T5:T12))</f>
        <v>39.866345109999997</v>
      </c>
    </row>
    <row r="14" spans="2:21">
      <c r="M14" t="s">
        <v>11</v>
      </c>
      <c r="N14" s="24">
        <f>($B$10)/5</f>
        <v>9.9736169999999999E-2</v>
      </c>
      <c r="O14" s="38">
        <f>($C$10*Params!K8)</f>
        <v>20.255439927159824</v>
      </c>
      <c r="P14" s="38">
        <f>(O14*N14)</f>
        <v>2.0201999999999996</v>
      </c>
    </row>
    <row r="15" spans="2:21">
      <c r="N15" s="24">
        <f>($B$10)/5</f>
        <v>9.9736169999999999E-2</v>
      </c>
      <c r="O15" s="38">
        <f>($C$10*Params!K9)</f>
        <v>24.92977221804286</v>
      </c>
      <c r="P15" s="38">
        <f>(O15*N15)</f>
        <v>2.4863999999999997</v>
      </c>
    </row>
    <row r="16" spans="2:21">
      <c r="N16" s="24">
        <f>($B$10)/5</f>
        <v>9.9736169999999999E-2</v>
      </c>
      <c r="O16" s="38">
        <f>($C$10*Params!K10)</f>
        <v>34.278436799808937</v>
      </c>
      <c r="P16" s="38">
        <f>(O16*N16)</f>
        <v>3.4188000000000001</v>
      </c>
    </row>
    <row r="17" spans="14:16">
      <c r="N17" s="24">
        <f>($B$10)/5</f>
        <v>9.9736169999999999E-2</v>
      </c>
      <c r="O17" s="38">
        <f>($C$10*Params!K11)</f>
        <v>62.324430545107148</v>
      </c>
      <c r="P17" s="38">
        <f>(O17*N17)</f>
        <v>6.2159999999999993</v>
      </c>
    </row>
    <row r="19" spans="14:16">
      <c r="P19" s="38">
        <f>(SUM(P14:P17))</f>
        <v>14.141399999999997</v>
      </c>
    </row>
  </sheetData>
  <conditionalFormatting sqref="C5 C9:C11 G12 O6:O9 O14:O17 S6">
    <cfRule type="cellIs" dxfId="187" priority="17" operator="lessThan">
      <formula>$J$3</formula>
    </cfRule>
    <cfRule type="cellIs" dxfId="186" priority="18" operator="greaterThan">
      <formula>$J$3</formula>
    </cfRule>
  </conditionalFormatting>
  <conditionalFormatting sqref="S8">
    <cfRule type="cellIs" dxfId="185" priority="11" operator="lessThan">
      <formula>$J$3</formula>
    </cfRule>
    <cfRule type="cellIs" dxfId="184" priority="12" operator="greaterThan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S6" sqref="S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50">
        <v>1.4418199999999999E-3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9">
        <f>(B13*J3)</f>
        <v>1.3773508046824339</v>
      </c>
      <c r="K4" s="4">
        <f>(J4/D13-1)</f>
        <v>-0.51367496244654387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50">
        <f t="shared" ref="C5:C11" si="0">(D5/B5)</f>
        <v>3.3950093362756749E-3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  <c r="R5" s="19">
        <f>(B5)</f>
        <v>883.65</v>
      </c>
      <c r="S5" s="50">
        <f>(T5/R5)</f>
        <v>3.3950093362756749E-3</v>
      </c>
      <c r="T5" s="39">
        <f>(D5)</f>
        <v>3</v>
      </c>
    </row>
    <row r="6" spans="2:20">
      <c r="B6" s="19">
        <v>-170.21276596000001</v>
      </c>
      <c r="C6" s="50">
        <f t="shared" si="0"/>
        <v>4.5729766249314055E-3</v>
      </c>
      <c r="D6" s="38">
        <v>-0.77837900000000004</v>
      </c>
      <c r="M6" t="s">
        <v>11</v>
      </c>
      <c r="N6" s="19">
        <f>(($B$5+$R$6)/5)</f>
        <v>191.05724773999998</v>
      </c>
      <c r="O6" s="50">
        <f>(C6)</f>
        <v>4.5729766249314055E-3</v>
      </c>
      <c r="P6" s="38">
        <f>(O6*N6)</f>
        <v>0.87370032793874852</v>
      </c>
      <c r="R6" s="19">
        <f>(SUM(B6:B11))</f>
        <v>71.63623869999995</v>
      </c>
      <c r="S6" s="50">
        <v>0</v>
      </c>
      <c r="T6" s="39">
        <f>(SUM(D6:D11))</f>
        <v>-0.16783900000000007</v>
      </c>
    </row>
    <row r="7" spans="2:20">
      <c r="B7" s="19">
        <v>-175.57251908000001</v>
      </c>
      <c r="C7" s="50">
        <f t="shared" si="0"/>
        <v>5.0894468262020218E-3</v>
      </c>
      <c r="D7" s="38">
        <v>-0.893567</v>
      </c>
      <c r="N7" s="19">
        <f>(($B$5+$R$6)/5)</f>
        <v>191.05724773999998</v>
      </c>
      <c r="O7" s="50">
        <f>($C$5*Params!K9)</f>
        <v>5.4320149380410803E-3</v>
      </c>
      <c r="P7" s="38">
        <f>(O7*N7)</f>
        <v>1.0378258237446953</v>
      </c>
      <c r="S7" s="50"/>
    </row>
    <row r="8" spans="2:20">
      <c r="B8" s="19">
        <v>-167.78523490000001</v>
      </c>
      <c r="C8" s="50">
        <f t="shared" si="0"/>
        <v>7.2337771599710653E-3</v>
      </c>
      <c r="D8" s="38">
        <v>-1.213721</v>
      </c>
      <c r="N8" s="19">
        <f>(($B$5+$R$6)/5)</f>
        <v>191.05724773999998</v>
      </c>
      <c r="O8" s="50">
        <f>($C$5*Params!K10)</f>
        <v>7.4690205398064849E-3</v>
      </c>
      <c r="P8" s="38">
        <f>(O8*N8)</f>
        <v>1.4270105076489559</v>
      </c>
    </row>
    <row r="9" spans="2:20">
      <c r="B9" s="19">
        <v>196.03891277</v>
      </c>
      <c r="C9" s="50">
        <f t="shared" si="0"/>
        <v>5.7642178485542315E-3</v>
      </c>
      <c r="D9" s="38">
        <v>1.1300110000000001</v>
      </c>
      <c r="N9" s="19">
        <f>(($B$5+$R$6)/5)</f>
        <v>191.05724773999998</v>
      </c>
      <c r="O9" s="50">
        <f>($C$5*Params!K11)</f>
        <v>1.35800373451027E-2</v>
      </c>
      <c r="P9" s="38">
        <f>(O9*N9)</f>
        <v>2.5945645593617379</v>
      </c>
    </row>
    <row r="10" spans="2:20">
      <c r="B10" s="19">
        <v>197.79050007999999</v>
      </c>
      <c r="C10" s="50">
        <f t="shared" si="0"/>
        <v>4.2977797197346571E-3</v>
      </c>
      <c r="D10" s="38">
        <v>0.85006000000000004</v>
      </c>
    </row>
    <row r="11" spans="2:20">
      <c r="B11" s="19">
        <v>191.37734578999999</v>
      </c>
      <c r="C11" s="50">
        <f t="shared" si="0"/>
        <v>3.8549860588491342E-3</v>
      </c>
      <c r="D11" s="38">
        <v>0.737757</v>
      </c>
    </row>
    <row r="12" spans="2:20">
      <c r="F12" t="s">
        <v>9</v>
      </c>
      <c r="G12" s="50">
        <f>(D13/B13)</f>
        <v>2.9647250062495851E-3</v>
      </c>
      <c r="P12" s="38">
        <f>(SUM(P6:P9))</f>
        <v>5.9331012186941372</v>
      </c>
    </row>
    <row r="13" spans="2:20">
      <c r="B13">
        <f>(SUM(B5:B12))</f>
        <v>955.28623870000001</v>
      </c>
      <c r="D13" s="39">
        <f>(SUM(D5:D12))</f>
        <v>2.8321610000000002</v>
      </c>
    </row>
    <row r="15" spans="2:20">
      <c r="R15">
        <f>(SUM(R5:R14))</f>
        <v>955.2862386999999</v>
      </c>
      <c r="T15" s="39">
        <f>(SUM(T5:T14))</f>
        <v>2.8321610000000002</v>
      </c>
    </row>
  </sheetData>
  <conditionalFormatting sqref="C5">
    <cfRule type="cellIs" dxfId="183" priority="17" operator="lessThan">
      <formula>$J$3</formula>
    </cfRule>
    <cfRule type="cellIs" dxfId="182" priority="18" operator="greaterThan">
      <formula>$J$3</formula>
    </cfRule>
  </conditionalFormatting>
  <conditionalFormatting sqref="C9:C11">
    <cfRule type="cellIs" dxfId="181" priority="15" operator="lessThan">
      <formula>$J$3</formula>
    </cfRule>
    <cfRule type="cellIs" dxfId="180" priority="16" operator="greaterThan">
      <formula>$J$3</formula>
    </cfRule>
    <cfRule type="cellIs" dxfId="179" priority="13" operator="lessThan">
      <formula>$J$3</formula>
    </cfRule>
    <cfRule type="cellIs" dxfId="178" priority="14" operator="greaterThan">
      <formula>$J$3</formula>
    </cfRule>
  </conditionalFormatting>
  <conditionalFormatting sqref="O6:O9">
    <cfRule type="cellIs" dxfId="177" priority="11" operator="lessThan">
      <formula>$J$3</formula>
    </cfRule>
    <cfRule type="cellIs" dxfId="176" priority="12" operator="greaterThan">
      <formula>$J$3</formula>
    </cfRule>
    <cfRule type="cellIs" dxfId="175" priority="9" operator="lessThan">
      <formula>$J$3</formula>
    </cfRule>
    <cfRule type="cellIs" dxfId="174" priority="10" operator="greaterThan">
      <formula>$J$3</formula>
    </cfRule>
  </conditionalFormatting>
  <conditionalFormatting sqref="S5">
    <cfRule type="cellIs" dxfId="173" priority="7" operator="lessThan">
      <formula>$J$3</formula>
    </cfRule>
    <cfRule type="cellIs" dxfId="172" priority="8" operator="greaterThan">
      <formula>$J$3</formula>
    </cfRule>
    <cfRule type="cellIs" dxfId="171" priority="5" operator="lessThan">
      <formula>$J$3</formula>
    </cfRule>
    <cfRule type="cellIs" dxfId="170" priority="6" operator="greaterThan">
      <formula>$J$3</formula>
    </cfRule>
  </conditionalFormatting>
  <conditionalFormatting sqref="G12">
    <cfRule type="cellIs" dxfId="169" priority="3" operator="lessThan">
      <formula>$J$3</formula>
    </cfRule>
    <cfRule type="cellIs" dxfId="168" priority="4" operator="greaterThan">
      <formula>$J$3</formula>
    </cfRule>
    <cfRule type="cellIs" dxfId="167" priority="1" operator="lessThan">
      <formula>$J$3</formula>
    </cfRule>
    <cfRule type="cellIs" dxfId="166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B12" sqref="B12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8">
        <v>246.22468623667569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(B17*J3)</f>
        <v>134.58757567748594</v>
      </c>
      <c r="K4" s="4">
        <f>(J4/D17-1)</f>
        <v>-0.16192732894974238</v>
      </c>
      <c r="R4" t="s">
        <v>5</v>
      </c>
      <c r="S4" t="s">
        <v>6</v>
      </c>
      <c r="T4" t="s">
        <v>7</v>
      </c>
    </row>
    <row r="5" spans="2:21">
      <c r="B5" s="51">
        <v>2.1511999999999999E-4</v>
      </c>
      <c r="C5" s="38">
        <v>244</v>
      </c>
      <c r="D5" s="38">
        <f>(B5*C5)</f>
        <v>5.2489279999999999E-2</v>
      </c>
      <c r="M5" t="s">
        <v>10</v>
      </c>
      <c r="N5" t="s">
        <v>29</v>
      </c>
      <c r="O5" t="s">
        <v>1</v>
      </c>
      <c r="P5" t="s">
        <v>2</v>
      </c>
      <c r="R5" s="51">
        <f>(B5+B13+B9)</f>
        <v>2.31774E-3</v>
      </c>
      <c r="S5" s="38">
        <f>(T5/R5)</f>
        <v>249.20103203983189</v>
      </c>
      <c r="T5" s="38">
        <f>(D5+D13+D9)</f>
        <v>0.57758319999999996</v>
      </c>
    </row>
    <row r="6" spans="2:21">
      <c r="B6" s="51">
        <v>6.6478800000000001E-3</v>
      </c>
      <c r="C6" s="38">
        <v>373</v>
      </c>
      <c r="D6" s="38">
        <f>(C6*B6)</f>
        <v>2.4796592400000002</v>
      </c>
      <c r="M6" t="s">
        <v>11</v>
      </c>
      <c r="N6" s="24">
        <f>($R$8/5)</f>
        <v>8.5513813999999994E-2</v>
      </c>
      <c r="O6" s="38">
        <f>($S$8*Params!K8)</f>
        <v>390.11942561701198</v>
      </c>
      <c r="P6" s="38">
        <f>(O6*N6)</f>
        <v>33.360599999999998</v>
      </c>
      <c r="R6" s="51">
        <f>(B6)</f>
        <v>6.6478800000000001E-3</v>
      </c>
      <c r="S6" s="38">
        <f>(C6)</f>
        <v>373</v>
      </c>
      <c r="T6" s="38">
        <f>(R6*S6)</f>
        <v>2.4796592400000002</v>
      </c>
    </row>
    <row r="7" spans="2:21">
      <c r="B7" s="51">
        <v>2.3499999999999999E-4</v>
      </c>
      <c r="C7" s="38">
        <v>0</v>
      </c>
      <c r="D7" s="38">
        <v>0</v>
      </c>
      <c r="E7" s="38">
        <f>(B7*J3)</f>
        <v>5.7862801265618789E-2</v>
      </c>
      <c r="N7" s="24">
        <f>($R$8/5)</f>
        <v>8.5513813999999994E-2</v>
      </c>
      <c r="O7" s="38">
        <f>($S$8*Params!K9)</f>
        <v>480.14698537478398</v>
      </c>
      <c r="P7" s="38">
        <f>(O7*N7)</f>
        <v>41.059199999999997</v>
      </c>
      <c r="R7" s="51">
        <f>(B7+B8+B10)</f>
        <v>1.2546200000000001E-3</v>
      </c>
      <c r="S7" s="38">
        <f>(C7)</f>
        <v>0</v>
      </c>
      <c r="T7" s="38">
        <f>(R7*S7)</f>
        <v>0</v>
      </c>
    </row>
    <row r="8" spans="2:21">
      <c r="B8" s="51">
        <v>9.4980000000000002E-5</v>
      </c>
      <c r="C8" s="38">
        <v>0</v>
      </c>
      <c r="D8" s="38">
        <v>0</v>
      </c>
      <c r="E8" s="38">
        <f>(B8*J3)</f>
        <v>2.3386420698759458E-2</v>
      </c>
      <c r="N8" s="24">
        <f>($R$8/5)</f>
        <v>8.5513813999999994E-2</v>
      </c>
      <c r="O8" s="38">
        <f>($S$8*Params!K10)</f>
        <v>660.20210489032797</v>
      </c>
      <c r="P8" s="38">
        <f>(O8*N8)</f>
        <v>56.456399999999995</v>
      </c>
      <c r="R8" s="51">
        <f>(B11)</f>
        <v>0.42756907</v>
      </c>
      <c r="S8" s="38">
        <f>(C11)</f>
        <v>300.09186585923999</v>
      </c>
      <c r="T8" s="38">
        <f>(R8*S8)</f>
        <v>128.31</v>
      </c>
      <c r="U8" t="s">
        <v>10</v>
      </c>
    </row>
    <row r="9" spans="2:21">
      <c r="B9" s="51">
        <v>9.0920000000000004E-5</v>
      </c>
      <c r="C9" s="38">
        <v>276</v>
      </c>
      <c r="D9" s="38">
        <f>(B9*C9)</f>
        <v>2.5093920000000002E-2</v>
      </c>
      <c r="E9" s="38"/>
      <c r="N9" s="24">
        <f>($R$8/5)</f>
        <v>8.5513813999999994E-2</v>
      </c>
      <c r="O9" s="38">
        <f>($S$8*Params!K11)</f>
        <v>1200.36746343696</v>
      </c>
      <c r="P9" s="38">
        <f>(O9*N9)</f>
        <v>102.64799999999998</v>
      </c>
      <c r="R9" s="51">
        <f>(B12)</f>
        <v>0.10803667</v>
      </c>
      <c r="S9" s="38">
        <f>(C12)</f>
        <v>298.97256181627955</v>
      </c>
      <c r="T9" s="38">
        <f>(R9*S9)</f>
        <v>32.299999999999997</v>
      </c>
      <c r="U9" t="s">
        <v>15</v>
      </c>
    </row>
    <row r="10" spans="2:21">
      <c r="B10" s="52">
        <v>9.2464000000000001E-4</v>
      </c>
      <c r="C10" s="40">
        <v>0</v>
      </c>
      <c r="D10" s="26">
        <v>0</v>
      </c>
      <c r="E10" s="38">
        <f>(B10*J3)</f>
        <v>0.22766919388187981</v>
      </c>
      <c r="P10" s="38"/>
      <c r="R10" s="51">
        <f>B14+B15</f>
        <v>7.7873999999999999E-4</v>
      </c>
      <c r="S10" s="38">
        <v>0</v>
      </c>
      <c r="T10" s="39">
        <f>D14+D15</f>
        <v>-3.0754700000000099</v>
      </c>
    </row>
    <row r="11" spans="2:21">
      <c r="B11" s="51">
        <v>0.42756907</v>
      </c>
      <c r="C11" s="38">
        <f>(D11/B11)</f>
        <v>300.09186585923999</v>
      </c>
      <c r="D11" s="38">
        <v>128.31</v>
      </c>
      <c r="E11" t="s">
        <v>10</v>
      </c>
      <c r="P11" s="38">
        <f>(SUM(P6:P9))</f>
        <v>233.52419999999995</v>
      </c>
    </row>
    <row r="12" spans="2:21">
      <c r="B12" s="51">
        <v>0.10803667</v>
      </c>
      <c r="C12" s="38">
        <f>(D12/B12)</f>
        <v>298.97256181627955</v>
      </c>
      <c r="D12" s="38">
        <v>32.299999999999997</v>
      </c>
      <c r="E12" t="s">
        <v>15</v>
      </c>
    </row>
    <row r="13" spans="2:21">
      <c r="B13" s="51">
        <v>2.0116999999999999E-3</v>
      </c>
      <c r="C13" s="38">
        <f>(D13/B13)</f>
        <v>248.54600586568574</v>
      </c>
      <c r="D13" s="38">
        <v>0.5</v>
      </c>
      <c r="M13" t="s">
        <v>15</v>
      </c>
      <c r="N13" t="s">
        <v>29</v>
      </c>
      <c r="O13" t="s">
        <v>1</v>
      </c>
      <c r="P13" t="s">
        <v>2</v>
      </c>
    </row>
    <row r="14" spans="2:21">
      <c r="B14" s="51">
        <v>0.29477873999999998</v>
      </c>
      <c r="C14" s="38">
        <f>(D14/B14)</f>
        <v>233.6752643694725</v>
      </c>
      <c r="D14" s="38">
        <f>39.9285+28.954</f>
        <v>68.882499999999993</v>
      </c>
      <c r="M14" t="s">
        <v>11</v>
      </c>
      <c r="N14" s="24">
        <f>($R$9/5)</f>
        <v>2.1607333999999999E-2</v>
      </c>
      <c r="O14" s="38">
        <f>($S$9*Params!K8)</f>
        <v>388.66433036116342</v>
      </c>
      <c r="P14" s="38">
        <f>(O14*N14)</f>
        <v>8.3979999999999979</v>
      </c>
    </row>
    <row r="15" spans="2:21">
      <c r="B15" s="51">
        <v>-0.29399999999999998</v>
      </c>
      <c r="C15" s="38">
        <f>(D15/B15)</f>
        <v>244.75500000000002</v>
      </c>
      <c r="D15" s="38">
        <v>-71.957970000000003</v>
      </c>
      <c r="N15" s="24">
        <f>($R$9/5)</f>
        <v>2.1607333999999999E-2</v>
      </c>
      <c r="O15" s="38">
        <f>($S$9*Params!K9)</f>
        <v>478.35609890604729</v>
      </c>
      <c r="P15" s="38">
        <f>(O15*N15)</f>
        <v>10.335999999999999</v>
      </c>
    </row>
    <row r="16" spans="2:21">
      <c r="N16" s="24">
        <f>($R$9/5)</f>
        <v>2.1607333999999999E-2</v>
      </c>
      <c r="O16" s="38">
        <f>($S$9*Params!K10)</f>
        <v>657.73963599581509</v>
      </c>
      <c r="P16" s="38">
        <f>(O16*N16)</f>
        <v>14.211999999999998</v>
      </c>
    </row>
    <row r="17" spans="2:16">
      <c r="B17" s="51">
        <f>(SUM(B5:B16))</f>
        <v>0.54660471999999993</v>
      </c>
      <c r="D17" s="38">
        <f>(SUM(D5:D16))</f>
        <v>160.59177244</v>
      </c>
      <c r="F17" t="s">
        <v>9</v>
      </c>
      <c r="G17" s="38">
        <f>(SUM(D5:D16)/SUM(B5:B16))</f>
        <v>293.7987298024064</v>
      </c>
      <c r="N17" s="24">
        <f>($R$9/5)</f>
        <v>2.1607333999999999E-2</v>
      </c>
      <c r="O17" s="38">
        <f>($S$9*Params!K11)</f>
        <v>1195.8902472651182</v>
      </c>
      <c r="P17" s="38">
        <f>(O17*N17)</f>
        <v>25.839999999999993</v>
      </c>
    </row>
    <row r="18" spans="2:16">
      <c r="P18" s="38"/>
    </row>
    <row r="19" spans="2:16">
      <c r="P19" s="38">
        <f>(SUM(P14:P17))</f>
        <v>58.785999999999987</v>
      </c>
    </row>
    <row r="21" spans="2:16">
      <c r="N21" t="s">
        <v>29</v>
      </c>
      <c r="O21" t="s">
        <v>1</v>
      </c>
      <c r="P21" t="s">
        <v>2</v>
      </c>
    </row>
    <row r="22" spans="2:16">
      <c r="M22" t="s">
        <v>11</v>
      </c>
      <c r="N22" s="24">
        <f>(($R$5+$R$7)/5)</f>
        <v>7.1447200000000007E-4</v>
      </c>
      <c r="O22" s="38">
        <f>($S$5*Params!K8)</f>
        <v>323.96134165178148</v>
      </c>
      <c r="P22" s="38">
        <f>(O22*N22)</f>
        <v>0.23146130769263165</v>
      </c>
    </row>
    <row r="23" spans="2:16">
      <c r="N23" s="24">
        <f>(($R$5+$R$7)/5)</f>
        <v>7.1447200000000007E-4</v>
      </c>
      <c r="O23" s="38">
        <f>($S$5*Params!K9)</f>
        <v>398.72165126373102</v>
      </c>
      <c r="P23" s="38">
        <f>(O23*N23)</f>
        <v>0.28487545562170047</v>
      </c>
    </row>
    <row r="24" spans="2:16">
      <c r="N24" s="24">
        <f>(($R$5+$R$7)/5)</f>
        <v>7.1447200000000007E-4</v>
      </c>
      <c r="O24" s="38">
        <f>($S$5*Params!K10)</f>
        <v>548.24227048763021</v>
      </c>
      <c r="P24" s="38">
        <f>(O24*N24)</f>
        <v>0.39170375147983816</v>
      </c>
    </row>
    <row r="25" spans="2:16">
      <c r="N25" s="24">
        <f>(($R$5+$R$7)/5)</f>
        <v>7.1447200000000007E-4</v>
      </c>
      <c r="O25" s="38">
        <f>($S$5*Params!K11)</f>
        <v>996.80412815932755</v>
      </c>
      <c r="P25" s="38">
        <f>(O25*N25)</f>
        <v>0.71218863905425112</v>
      </c>
    </row>
    <row r="26" spans="2:16">
      <c r="P26" s="38"/>
    </row>
    <row r="27" spans="2:16">
      <c r="P27" s="38">
        <f>(SUM(P22:P25))</f>
        <v>1.6202291538484213</v>
      </c>
    </row>
    <row r="37" spans="18:20">
      <c r="R37" s="51">
        <f>(SUM(R5:R27))</f>
        <v>0.54660472000000004</v>
      </c>
      <c r="T37" s="38">
        <f>(SUM(T5:T27))</f>
        <v>160.59177244</v>
      </c>
    </row>
  </sheetData>
  <conditionalFormatting sqref="C5:C6 C9 C11:C14 O6:O9 O14 S5:S6 S8:S9">
    <cfRule type="cellIs" dxfId="165" priority="9" operator="lessThan">
      <formula>$J$3</formula>
    </cfRule>
    <cfRule type="cellIs" dxfId="164" priority="10" operator="greaterThan">
      <formula>$J$3</formula>
    </cfRule>
  </conditionalFormatting>
  <conditionalFormatting sqref="O15:O17">
    <cfRule type="cellIs" dxfId="163" priority="5" operator="lessThan">
      <formula>$J$3</formula>
    </cfRule>
    <cfRule type="cellIs" dxfId="162" priority="6" operator="greaterThan">
      <formula>$J$3</formula>
    </cfRule>
  </conditionalFormatting>
  <conditionalFormatting sqref="O22:O25">
    <cfRule type="cellIs" dxfId="161" priority="3" operator="lessThan">
      <formula>$J$3</formula>
    </cfRule>
    <cfRule type="cellIs" dxfId="160" priority="4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3">
        <v>6.8063529259981229E-2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4.1740757445240293</v>
      </c>
      <c r="K4" s="4">
        <f>(J4/D13-1)</f>
        <v>-0.1651848510951941</v>
      </c>
    </row>
    <row r="5" spans="2:16">
      <c r="B5" s="29">
        <v>61.119118389999997</v>
      </c>
      <c r="C5" s="38">
        <f>(D5/B5)</f>
        <v>8.1807462733593267E-2</v>
      </c>
      <c r="D5" s="38">
        <v>5</v>
      </c>
      <c r="N5" t="s">
        <v>29</v>
      </c>
      <c r="O5" t="s">
        <v>1</v>
      </c>
      <c r="P5" t="s">
        <v>2</v>
      </c>
    </row>
    <row r="6" spans="2:16">
      <c r="B6" s="25">
        <v>0.20705423000000001</v>
      </c>
      <c r="C6" s="40">
        <v>0</v>
      </c>
      <c r="D6" s="26">
        <f>(B6*C6)</f>
        <v>0</v>
      </c>
      <c r="E6" s="38">
        <f>(B6*J3)</f>
        <v>1.4092841642007883E-2</v>
      </c>
      <c r="M6" t="s">
        <v>11</v>
      </c>
      <c r="N6" s="29">
        <f>($B$13/5)</f>
        <v>12.265234523999998</v>
      </c>
      <c r="O6" s="38">
        <f>($C$5*Params!K8)</f>
        <v>0.10634970155367125</v>
      </c>
      <c r="P6" s="38">
        <f>(O6*N6)</f>
        <v>1.3044040311131848</v>
      </c>
    </row>
    <row r="7" spans="2:16">
      <c r="N7" s="29">
        <f>($B$13/5)</f>
        <v>12.265234523999998</v>
      </c>
      <c r="O7" s="38">
        <f>($C$5*Params!K9)</f>
        <v>0.13089194037374924</v>
      </c>
      <c r="P7" s="38">
        <f>(O7*N7)</f>
        <v>1.6054203459854584</v>
      </c>
    </row>
    <row r="8" spans="2:16">
      <c r="N8" s="29">
        <f>($B$13/5)</f>
        <v>12.265234523999998</v>
      </c>
      <c r="O8" s="38">
        <f>($C$5*Params!K10)</f>
        <v>0.17997641801390521</v>
      </c>
      <c r="P8" s="38">
        <f>(O8*N8)</f>
        <v>2.2074529757300052</v>
      </c>
    </row>
    <row r="9" spans="2:16">
      <c r="N9" s="29">
        <f>($B$13/5)</f>
        <v>12.265234523999998</v>
      </c>
      <c r="O9" s="38">
        <f>($C$5*Params!K11)</f>
        <v>0.32722985093437307</v>
      </c>
      <c r="P9" s="38">
        <f>(O9*N9)</f>
        <v>4.013550864963646</v>
      </c>
    </row>
    <row r="11" spans="2:16">
      <c r="P11" s="38">
        <f>(SUM(P6:P9))</f>
        <v>9.1308282177922955</v>
      </c>
    </row>
    <row r="12" spans="2:16">
      <c r="F12" t="s">
        <v>9</v>
      </c>
      <c r="G12" s="38">
        <f>(D13/B13)</f>
        <v>8.1531257966837065E-2</v>
      </c>
    </row>
    <row r="13" spans="2:16">
      <c r="B13" s="29">
        <f>(SUM(B5:B12))</f>
        <v>61.326172619999994</v>
      </c>
      <c r="D13" s="38">
        <f>(SUM(D5:D12))</f>
        <v>5</v>
      </c>
    </row>
  </sheetData>
  <conditionalFormatting sqref="O6:O9">
    <cfRule type="cellIs" dxfId="159" priority="5" operator="lessThan">
      <formula>$J$3</formula>
    </cfRule>
    <cfRule type="cellIs" dxfId="158" priority="6" operator="greaterThan">
      <formula>$J$3</formula>
    </cfRule>
  </conditionalFormatting>
  <conditionalFormatting sqref="C5">
    <cfRule type="cellIs" dxfId="157" priority="3" operator="lessThan">
      <formula>$J$3</formula>
    </cfRule>
    <cfRule type="cellIs" dxfId="156" priority="4" operator="greaterThan">
      <formula>$J$3</formula>
    </cfRule>
  </conditionalFormatting>
  <conditionalFormatting sqref="G12">
    <cfRule type="cellIs" dxfId="155" priority="1" operator="lessThan">
      <formula>$J$3</formula>
    </cfRule>
    <cfRule type="cellIs" dxfId="154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5" sqref="B5"/>
    </sheetView>
  </sheetViews>
  <sheetFormatPr baseColWidth="10" defaultColWidth="9.140625" defaultRowHeight="15"/>
  <cols>
    <col min="14" max="15" width="11.28515625" style="14" bestFit="1" customWidth="1"/>
  </cols>
  <sheetData>
    <row r="3" spans="2:21">
      <c r="I3" t="s">
        <v>3</v>
      </c>
      <c r="J3" s="38">
        <v>5.3647504438008129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30.751670456927446</v>
      </c>
      <c r="K4" s="4">
        <f>(J4/D14-1)</f>
        <v>-5.6533519632342433E-2</v>
      </c>
      <c r="R4" t="s">
        <v>5</v>
      </c>
      <c r="S4" t="s">
        <v>6</v>
      </c>
      <c r="T4" t="s">
        <v>7</v>
      </c>
    </row>
    <row r="5" spans="2:21">
      <c r="B5" s="24">
        <v>5.6205673300000001</v>
      </c>
      <c r="C5" s="38">
        <f>(D5/B5)</f>
        <v>5.7467508355602241</v>
      </c>
      <c r="D5" s="38">
        <v>32.299999999999997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2.3822880000000001E-2</v>
      </c>
      <c r="S5" s="40">
        <v>0</v>
      </c>
      <c r="T5" s="26">
        <f>(D6)</f>
        <v>0</v>
      </c>
      <c r="U5">
        <f>(R5*J3)</f>
        <v>0.12780380605261352</v>
      </c>
    </row>
    <row r="6" spans="2:21">
      <c r="B6" s="25">
        <v>2.3822880000000001E-2</v>
      </c>
      <c r="C6" s="40">
        <v>0</v>
      </c>
      <c r="D6" s="26">
        <f>(B6*C6)</f>
        <v>0</v>
      </c>
      <c r="E6" s="38">
        <f>(B6*J3)</f>
        <v>0.12780380605261352</v>
      </c>
      <c r="M6" t="s">
        <v>11</v>
      </c>
      <c r="N6" s="24">
        <f>($B$14/5)</f>
        <v>1.1464343320000001</v>
      </c>
      <c r="O6" s="38">
        <f>($S$6*Params!K8)</f>
        <v>7.4707760862282919</v>
      </c>
      <c r="P6" s="38">
        <f>(O6*N6)</f>
        <v>8.5647541919367072</v>
      </c>
      <c r="R6" s="24">
        <f>B5</f>
        <v>5.6205673300000001</v>
      </c>
      <c r="S6" s="38">
        <f>(T6/R6)</f>
        <v>5.7467508355602241</v>
      </c>
      <c r="T6" s="38">
        <f>D5</f>
        <v>32.299999999999997</v>
      </c>
      <c r="U6" t="s">
        <v>15</v>
      </c>
    </row>
    <row r="7" spans="2:21">
      <c r="B7" s="24">
        <v>0.11156135</v>
      </c>
      <c r="C7" s="38">
        <f>(D7/B7)</f>
        <v>4.4818389164347687</v>
      </c>
      <c r="D7" s="38">
        <v>0.5</v>
      </c>
      <c r="N7" s="24">
        <f>($B$14/5)</f>
        <v>1.1464343320000001</v>
      </c>
      <c r="O7" s="38">
        <f>($S$6*Params!K9)</f>
        <v>9.1948013368963597</v>
      </c>
      <c r="P7" s="38">
        <f>(O7*N7)</f>
        <v>10.541235928537485</v>
      </c>
      <c r="R7" s="24">
        <f>B7</f>
        <v>0.11156135</v>
      </c>
      <c r="S7" s="38">
        <f>(T7/R7)</f>
        <v>4.4818389164347687</v>
      </c>
      <c r="T7" s="39">
        <f>D7</f>
        <v>0.5</v>
      </c>
    </row>
    <row r="8" spans="2:21">
      <c r="B8" s="24">
        <f>(-0.2134+N15)</f>
        <v>-0.21340000000000001</v>
      </c>
      <c r="C8" s="38">
        <f>(D8/B8)</f>
        <v>5.3527599426527646</v>
      </c>
      <c r="D8" s="38">
        <f>(-1.27565659-D9)</f>
        <v>-1.1422789717621</v>
      </c>
      <c r="N8" s="24">
        <f>($B$14/5)</f>
        <v>1.1464343320000001</v>
      </c>
      <c r="O8" s="38">
        <f>($C$5*Params!K10)</f>
        <v>12.642851838232493</v>
      </c>
      <c r="P8" s="38">
        <f>(O8*N8)</f>
        <v>14.494199401739042</v>
      </c>
      <c r="R8" s="24">
        <f>SUM(B8:B10)</f>
        <v>-2.3779899999999993E-2</v>
      </c>
      <c r="S8" s="38">
        <f>(T8/R8)</f>
        <v>8.64833704094635</v>
      </c>
      <c r="T8" s="38">
        <f>SUM(D8:D10)</f>
        <v>-0.20565659000000003</v>
      </c>
    </row>
    <row r="9" spans="2:21">
      <c r="B9">
        <f>-B7/5</f>
        <v>-2.2312270000000002E-2</v>
      </c>
      <c r="C9" s="38">
        <v>5.9777699999999996</v>
      </c>
      <c r="D9" s="38">
        <f>(C9*B9)</f>
        <v>-0.13337761823790001</v>
      </c>
      <c r="N9" s="24">
        <f>($B$14/5)</f>
        <v>1.1464343320000001</v>
      </c>
      <c r="O9" s="38">
        <f>($C$5*Params!K11)</f>
        <v>22.987003342240897</v>
      </c>
      <c r="P9" s="38">
        <f>(O9*N9)</f>
        <v>26.353089821343712</v>
      </c>
    </row>
    <row r="10" spans="2:21">
      <c r="B10" s="24">
        <v>0.21193237000000001</v>
      </c>
      <c r="C10" s="38">
        <f>D10/B10</f>
        <v>5.0487804199047082</v>
      </c>
      <c r="D10" s="38">
        <v>1.07</v>
      </c>
      <c r="N10" s="24"/>
      <c r="P10" s="38"/>
    </row>
    <row r="11" spans="2:21">
      <c r="N11" s="24"/>
      <c r="P11" s="38"/>
    </row>
    <row r="12" spans="2:21">
      <c r="N12" s="24"/>
      <c r="P12" s="38">
        <f>(SUM(P6:P9))</f>
        <v>59.953279343556943</v>
      </c>
    </row>
    <row r="13" spans="2:21">
      <c r="F13" t="s">
        <v>9</v>
      </c>
      <c r="G13" s="38">
        <f>(D14/B14)</f>
        <v>5.6862120228269628</v>
      </c>
      <c r="N13" s="24"/>
      <c r="P13" s="38"/>
      <c r="R13" s="24">
        <f>(SUM(R5:R12))</f>
        <v>5.7321716599999997</v>
      </c>
      <c r="T13" s="38">
        <f>(SUM(T5:T12))</f>
        <v>32.59434341</v>
      </c>
    </row>
    <row r="14" spans="2:21">
      <c r="B14">
        <f>(SUM(B5:B13))</f>
        <v>5.7321716600000006</v>
      </c>
      <c r="D14" s="38">
        <f>(SUM(D5:D13))</f>
        <v>32.594343409999993</v>
      </c>
    </row>
    <row r="15" spans="2:21">
      <c r="N15" s="24"/>
      <c r="O15" s="38"/>
      <c r="P15" s="38"/>
    </row>
    <row r="16" spans="2:21">
      <c r="N16" s="24"/>
      <c r="O16" s="38"/>
      <c r="P16" s="38"/>
    </row>
    <row r="17" spans="7:16">
      <c r="N17" s="24"/>
      <c r="O17" s="38"/>
      <c r="P17" s="38"/>
    </row>
    <row r="18" spans="7:16">
      <c r="N18" s="24"/>
      <c r="O18" s="38"/>
      <c r="P18" s="38"/>
    </row>
    <row r="19" spans="7:16">
      <c r="P19" s="38"/>
    </row>
    <row r="20" spans="7:16">
      <c r="P20" s="38"/>
    </row>
    <row r="21" spans="7:16">
      <c r="P21" s="38"/>
    </row>
    <row r="27" spans="7:16">
      <c r="G27" s="39"/>
    </row>
  </sheetData>
  <conditionalFormatting sqref="C5 C7 C10 G13 O6:O9 S6:S7">
    <cfRule type="cellIs" dxfId="153" priority="15" operator="lessThan">
      <formula>$J$3</formula>
    </cfRule>
    <cfRule type="cellIs" dxfId="152" priority="16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35.669022253628214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4.3965098227586106</v>
      </c>
      <c r="K4" s="4">
        <f>(J4/D13-1)</f>
        <v>-0.15451734177719034</v>
      </c>
    </row>
    <row r="5" spans="2:16">
      <c r="B5" s="24">
        <v>0.12084767</v>
      </c>
      <c r="C5" s="38">
        <v>43.03</v>
      </c>
      <c r="D5" s="38">
        <v>5.2</v>
      </c>
      <c r="N5" t="s">
        <v>29</v>
      </c>
      <c r="O5" t="s">
        <v>1</v>
      </c>
      <c r="P5" t="s">
        <v>2</v>
      </c>
    </row>
    <row r="6" spans="2:16">
      <c r="B6" s="25">
        <v>2.4108200000000002E-3</v>
      </c>
      <c r="C6" s="40">
        <v>0</v>
      </c>
      <c r="D6" s="26">
        <f>(B6*C6)</f>
        <v>0</v>
      </c>
      <c r="E6" s="38">
        <f>(B6*J3)</f>
        <v>8.5991592229491973E-2</v>
      </c>
      <c r="M6" t="s">
        <v>11</v>
      </c>
      <c r="N6" s="24">
        <f>($B$13/5)</f>
        <v>2.4651698E-2</v>
      </c>
      <c r="O6" s="38">
        <f>($C$5*Params!K8)</f>
        <v>55.939</v>
      </c>
      <c r="P6" s="38">
        <f>(O6*N6)</f>
        <v>1.3789913344219999</v>
      </c>
    </row>
    <row r="7" spans="2:16">
      <c r="N7" s="24">
        <f>($B$13/5)</f>
        <v>2.4651698E-2</v>
      </c>
      <c r="O7" s="38">
        <f>($C$5*Params!K9)</f>
        <v>68.847999999999999</v>
      </c>
      <c r="P7" s="38">
        <f>(O7*N7)</f>
        <v>1.697220103904</v>
      </c>
    </row>
    <row r="8" spans="2:16">
      <c r="N8" s="24">
        <f>($B$13/5)</f>
        <v>2.4651698E-2</v>
      </c>
      <c r="O8" s="38">
        <f>($C$5*Params!K10)</f>
        <v>94.666000000000011</v>
      </c>
      <c r="P8" s="38">
        <f>(O8*N8)</f>
        <v>2.3336776428680004</v>
      </c>
    </row>
    <row r="9" spans="2:16">
      <c r="N9" s="24">
        <f>($B$13/5)</f>
        <v>2.4651698E-2</v>
      </c>
      <c r="O9" s="38">
        <f>($C$5*Params!K11)</f>
        <v>172.12</v>
      </c>
      <c r="P9" s="38">
        <f>(O9*N9)</f>
        <v>4.2430502597600004</v>
      </c>
    </row>
    <row r="11" spans="2:16">
      <c r="P11" s="38">
        <f>(SUM(P6:P9))</f>
        <v>9.652939340954001</v>
      </c>
    </row>
    <row r="12" spans="2:16">
      <c r="F12" t="s">
        <v>9</v>
      </c>
      <c r="G12" s="38">
        <f>(D13/B13)</f>
        <v>42.18776329322224</v>
      </c>
    </row>
    <row r="13" spans="2:16">
      <c r="B13">
        <f>(SUM(B5:B12))</f>
        <v>0.12325849</v>
      </c>
      <c r="D13" s="38">
        <f>(SUM(D5:D12))</f>
        <v>5.2</v>
      </c>
    </row>
  </sheetData>
  <conditionalFormatting sqref="C5">
    <cfRule type="cellIs" dxfId="151" priority="3" operator="lessThan">
      <formula>$J$3</formula>
    </cfRule>
    <cfRule type="cellIs" dxfId="150" priority="4" operator="greaterThan">
      <formula>$J$3</formula>
    </cfRule>
  </conditionalFormatting>
  <conditionalFormatting sqref="O6:O9">
    <cfRule type="cellIs" dxfId="149" priority="1" operator="lessThan">
      <formula>$J$3</formula>
    </cfRule>
    <cfRule type="cellIs" dxfId="148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B5" sqref="B5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4.1650203161126598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6.2947550572207946</v>
      </c>
      <c r="K4" s="4">
        <f>(J4/D10-1)</f>
        <v>-0.18037043525770902</v>
      </c>
    </row>
    <row r="5" spans="2:16">
      <c r="B5" s="1">
        <v>1.51032945</v>
      </c>
      <c r="C5" s="38">
        <f>(D5/B5)</f>
        <v>5.0849832796414054</v>
      </c>
      <c r="D5" s="38">
        <v>7.68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1.0089299999999999E-3</v>
      </c>
      <c r="C6" s="40">
        <v>0</v>
      </c>
      <c r="D6" s="26">
        <f>(B6*C6)</f>
        <v>0</v>
      </c>
      <c r="E6" s="38">
        <f>(B6*J3)</f>
        <v>4.2022139475355455E-3</v>
      </c>
      <c r="M6" t="s">
        <v>11</v>
      </c>
      <c r="N6" s="24">
        <f>($B$10/5)</f>
        <v>0.30226767599999999</v>
      </c>
      <c r="O6" s="38">
        <f>($C$5*Params!K8)</f>
        <v>6.6104782635338273</v>
      </c>
      <c r="P6" s="38">
        <f>(O6*N6)</f>
        <v>1.9981339019668853</v>
      </c>
    </row>
    <row r="7" spans="2:16">
      <c r="N7" s="24">
        <f>($B$10/5)</f>
        <v>0.30226767599999999</v>
      </c>
      <c r="O7" s="38">
        <f>($C$5*Params!K9)</f>
        <v>8.1359732474262483</v>
      </c>
      <c r="P7" s="38">
        <f>(O7*N7)</f>
        <v>2.459241725497705</v>
      </c>
    </row>
    <row r="8" spans="2:16">
      <c r="N8" s="24">
        <f>($B$10/5)</f>
        <v>0.30226767599999999</v>
      </c>
      <c r="O8" s="38">
        <f>($C$5*Params!K10)</f>
        <v>11.186963215211092</v>
      </c>
      <c r="P8" s="38">
        <f>(O8*N8)</f>
        <v>3.3814573725593444</v>
      </c>
    </row>
    <row r="9" spans="2:16">
      <c r="F9" t="s">
        <v>9</v>
      </c>
      <c r="G9" s="38">
        <f>(D10/B10)</f>
        <v>5.0815886777122667</v>
      </c>
      <c r="N9" s="24">
        <f>($B$10/5)</f>
        <v>0.30226767599999999</v>
      </c>
      <c r="O9" s="38">
        <f>($C$5*Params!K11)</f>
        <v>20.339933118565622</v>
      </c>
      <c r="P9" s="38">
        <f>(O9*N9)</f>
        <v>6.1481043137442626</v>
      </c>
    </row>
    <row r="10" spans="2:16">
      <c r="B10">
        <f>(SUM(B5:B9))</f>
        <v>1.51133838</v>
      </c>
      <c r="D10" s="38">
        <f>(SUM(D5:D9))</f>
        <v>7.68</v>
      </c>
    </row>
    <row r="11" spans="2:16">
      <c r="P11" s="38">
        <f>(SUM(P6:P9))</f>
        <v>13.986937313768198</v>
      </c>
    </row>
    <row r="12" spans="2:16">
      <c r="P12" s="38"/>
    </row>
  </sheetData>
  <conditionalFormatting sqref="C5">
    <cfRule type="cellIs" dxfId="147" priority="5" operator="lessThan">
      <formula>$J$3</formula>
    </cfRule>
    <cfRule type="cellIs" dxfId="146" priority="6" operator="greaterThan">
      <formula>$J$3</formula>
    </cfRule>
  </conditionalFormatting>
  <conditionalFormatting sqref="O6:O9">
    <cfRule type="cellIs" dxfId="145" priority="3" operator="lessThan">
      <formula>$J$3</formula>
    </cfRule>
    <cfRule type="cellIs" dxfId="144" priority="4" operator="greaterThan">
      <formula>$J$3</formula>
    </cfRule>
  </conditionalFormatting>
  <conditionalFormatting sqref="G9">
    <cfRule type="cellIs" dxfId="143" priority="1" operator="lessThan">
      <formula>$J$3</formula>
    </cfRule>
    <cfRule type="cellIs" dxfId="142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N6" sqref="N6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2.215882732877648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9.4715126484025305</v>
      </c>
      <c r="K4" s="4">
        <f>(J4/D10-1)</f>
        <v>-1.0291259310080458E-2</v>
      </c>
    </row>
    <row r="5" spans="2:16">
      <c r="B5" s="1">
        <v>4.26000259</v>
      </c>
      <c r="C5" s="38">
        <f>(D5/B5)</f>
        <v>2.2464775074232994</v>
      </c>
      <c r="D5" s="38">
        <v>9.57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1.437191E-2</v>
      </c>
      <c r="C6" s="40">
        <v>0</v>
      </c>
      <c r="D6" s="26">
        <f>(B6*C6)</f>
        <v>0</v>
      </c>
      <c r="E6" s="38">
        <f>(B6*J3)</f>
        <v>3.1846467207471599E-2</v>
      </c>
      <c r="M6" t="s">
        <v>11</v>
      </c>
      <c r="N6" s="1">
        <f>($B$10/5)</f>
        <v>0.8548749000000001</v>
      </c>
      <c r="O6" s="38">
        <f>($C$5*Params!K8)</f>
        <v>2.9204207596502894</v>
      </c>
      <c r="P6" s="38">
        <f>(O6*N6)</f>
        <v>2.4965944048639654</v>
      </c>
    </row>
    <row r="7" spans="2:16">
      <c r="N7" s="1">
        <f>($B$10/5)</f>
        <v>0.8548749000000001</v>
      </c>
      <c r="O7" s="38">
        <f>($C$5*Params!K9)</f>
        <v>3.5943640118772793</v>
      </c>
      <c r="P7" s="38">
        <f>(O7*N7)</f>
        <v>3.0727315752171882</v>
      </c>
    </row>
    <row r="8" spans="2:16">
      <c r="N8" s="1">
        <f>($B$10/5)</f>
        <v>0.8548749000000001</v>
      </c>
      <c r="O8" s="38">
        <f>($C$5*Params!K10)</f>
        <v>4.9422505163312591</v>
      </c>
      <c r="P8" s="38">
        <f>(O8*N8)</f>
        <v>4.2250059159236342</v>
      </c>
    </row>
    <row r="9" spans="2:16">
      <c r="F9" t="s">
        <v>9</v>
      </c>
      <c r="G9" s="38">
        <f>(D10/B10)</f>
        <v>2.2389240811725784</v>
      </c>
      <c r="N9" s="1">
        <f>($B$10/5)</f>
        <v>0.8548749000000001</v>
      </c>
      <c r="O9" s="38">
        <f>($C$5*Params!K11)</f>
        <v>8.9859100296931977</v>
      </c>
      <c r="P9" s="38">
        <f>(O9*N9)</f>
        <v>7.6818289380429707</v>
      </c>
    </row>
    <row r="10" spans="2:16">
      <c r="B10" s="1">
        <f>(SUM(B5:B9))</f>
        <v>4.2743745000000004</v>
      </c>
      <c r="D10" s="38">
        <f>(SUM(D5:D9))</f>
        <v>9.57</v>
      </c>
    </row>
    <row r="11" spans="2:16">
      <c r="P11" s="38">
        <f>(SUM(P6:P9))</f>
        <v>17.476160834047761</v>
      </c>
    </row>
  </sheetData>
  <conditionalFormatting sqref="C5">
    <cfRule type="cellIs" dxfId="141" priority="5" operator="lessThan">
      <formula>$J$3</formula>
    </cfRule>
    <cfRule type="cellIs" dxfId="140" priority="6" operator="greaterThan">
      <formula>$J$3</formula>
    </cfRule>
  </conditionalFormatting>
  <conditionalFormatting sqref="O6:O9">
    <cfRule type="cellIs" dxfId="139" priority="3" operator="lessThan">
      <formula>$J$3</formula>
    </cfRule>
    <cfRule type="cellIs" dxfId="138" priority="4" operator="greaterThan">
      <formula>$J$3</formula>
    </cfRule>
  </conditionalFormatting>
  <conditionalFormatting sqref="G9">
    <cfRule type="cellIs" dxfId="137" priority="1" operator="lessThan">
      <formula>$J$3</formula>
    </cfRule>
    <cfRule type="cellIs" dxfId="136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U78"/>
  <sheetViews>
    <sheetView workbookViewId="0">
      <selection activeCell="B24" sqref="B24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8">
        <v>30150.441269422648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870.30816547134498</v>
      </c>
      <c r="K4" s="4">
        <f>(J4/D37-1)</f>
        <v>0.27378008830982292</v>
      </c>
      <c r="L4" t="s">
        <v>4</v>
      </c>
      <c r="M4">
        <f>(INDEX((M9:M68),MATCH(N4/0.85,N9:N68,0))/0.9)</f>
        <v>2.047422222222222E-4</v>
      </c>
      <c r="N4" s="39">
        <f>(MAX(N9,N17:N19,N49,N25,N33,N41,N57,N65)*0.85)</f>
        <v>19471.8</v>
      </c>
      <c r="O4" s="41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8">
        <v>41500</v>
      </c>
      <c r="D5" s="38">
        <f>(B5*C5)</f>
        <v>165.99294500000002</v>
      </c>
      <c r="R5" s="24">
        <f t="shared" ref="R5:R10" si="0">(B5)</f>
        <v>3.9998300000000002E-3</v>
      </c>
      <c r="S5" s="38">
        <v>41500</v>
      </c>
      <c r="T5" s="38">
        <f>(R5*S5)</f>
        <v>165.99294500000002</v>
      </c>
    </row>
    <row r="6" spans="2:20">
      <c r="B6" s="25">
        <v>3.235E-4</v>
      </c>
      <c r="C6" s="40">
        <v>0</v>
      </c>
      <c r="D6" s="26">
        <f>(B6*C6)</f>
        <v>0</v>
      </c>
      <c r="E6" s="38">
        <f>(B6*J3)</f>
        <v>9.7536677506582272</v>
      </c>
      <c r="I6" t="s">
        <v>11</v>
      </c>
      <c r="J6">
        <v>0.03</v>
      </c>
      <c r="R6" s="24">
        <f t="shared" si="0"/>
        <v>3.235E-4</v>
      </c>
      <c r="S6" s="38">
        <v>0</v>
      </c>
      <c r="T6" s="38">
        <f>(R6*S6)</f>
        <v>0</v>
      </c>
    </row>
    <row r="7" spans="2:20">
      <c r="B7" s="24">
        <v>5.1073000000000004E-4</v>
      </c>
      <c r="C7" s="38">
        <f>D7/B7</f>
        <v>30544.514714232566</v>
      </c>
      <c r="D7" s="38">
        <v>15.6</v>
      </c>
      <c r="I7" t="s">
        <v>13</v>
      </c>
      <c r="J7">
        <f>(J6-B37)</f>
        <v>1.1344799999999933E-3</v>
      </c>
      <c r="R7" s="24">
        <f t="shared" si="0"/>
        <v>5.1073000000000004E-4</v>
      </c>
      <c r="S7" s="38">
        <f>(T7/R7)</f>
        <v>30544.514714232566</v>
      </c>
      <c r="T7" s="38" t="s">
        <v>19</v>
      </c>
    </row>
    <row r="8" spans="2:20">
      <c r="B8" s="24">
        <v>4.9108299999999997E-3</v>
      </c>
      <c r="C8" s="38">
        <f>D8/B8</f>
        <v>21381.314360301621</v>
      </c>
      <c r="D8" s="38">
        <v>105</v>
      </c>
      <c r="I8" t="s">
        <v>14</v>
      </c>
      <c r="J8" s="41">
        <f>(J7*J3)</f>
        <v>34.205072611334401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8">
        <f>(T8/R8)</f>
        <v>21381.314360301621</v>
      </c>
      <c r="T8" s="38" t="s">
        <v>20</v>
      </c>
    </row>
    <row r="9" spans="2:20">
      <c r="B9" s="24">
        <v>2E-3</v>
      </c>
      <c r="C9" s="38">
        <f>D9/B9</f>
        <v>21750</v>
      </c>
      <c r="D9" s="38">
        <v>43.5</v>
      </c>
      <c r="L9" t="s">
        <v>11</v>
      </c>
      <c r="M9">
        <f>($B$16/5)</f>
        <v>3.3600000000000004E-4</v>
      </c>
      <c r="N9" s="38">
        <f>(C26)</f>
        <v>20979.026577380951</v>
      </c>
      <c r="O9" s="41">
        <f>(N9*M9)</f>
        <v>7.0489529300000004</v>
      </c>
      <c r="P9" t="s">
        <v>12</v>
      </c>
      <c r="R9" s="24">
        <f t="shared" si="0"/>
        <v>2E-3</v>
      </c>
      <c r="S9" s="38">
        <f>(T9/R9)</f>
        <v>21750</v>
      </c>
      <c r="T9" s="38" t="s">
        <v>21</v>
      </c>
    </row>
    <row r="10" spans="2:20">
      <c r="B10" s="24">
        <v>6.9999999999999999E-4</v>
      </c>
      <c r="C10" s="38">
        <v>20458</v>
      </c>
      <c r="D10" s="38">
        <f t="shared" ref="D10:D16" si="1">(C10*B10)</f>
        <v>14.320600000000001</v>
      </c>
      <c r="M10">
        <f>($B$16/5)</f>
        <v>3.3600000000000004E-4</v>
      </c>
      <c r="N10" s="38">
        <f>($C$16*Params!K16)</f>
        <v>33240.04</v>
      </c>
      <c r="O10" s="41">
        <f>(N10*M10)</f>
        <v>11.168653440000002</v>
      </c>
      <c r="R10" s="24">
        <f t="shared" si="0"/>
        <v>6.9999999999999999E-4</v>
      </c>
      <c r="S10" s="38">
        <v>20458</v>
      </c>
      <c r="T10" s="38">
        <f>(S10*R10)</f>
        <v>14.320600000000001</v>
      </c>
    </row>
    <row r="11" spans="2:20">
      <c r="B11" s="24">
        <v>5.1000000000000004E-4</v>
      </c>
      <c r="C11" s="38">
        <v>19873.310000000001</v>
      </c>
      <c r="D11" s="38">
        <f t="shared" si="1"/>
        <v>10.135388100000002</v>
      </c>
      <c r="M11">
        <f>($B$16/5)</f>
        <v>3.3600000000000004E-4</v>
      </c>
      <c r="N11" s="38">
        <f>($C$16*Params!K17)</f>
        <v>66480.08</v>
      </c>
      <c r="O11" s="41">
        <f>(N11*M11)</f>
        <v>22.337306880000003</v>
      </c>
      <c r="R11" s="24">
        <f>(B12)</f>
        <v>6.4000000000000005E-4</v>
      </c>
      <c r="S11" s="38">
        <v>19169.310000000001</v>
      </c>
      <c r="T11" s="38">
        <f>(S11*R11)</f>
        <v>12.268358400000002</v>
      </c>
    </row>
    <row r="12" spans="2:20">
      <c r="B12" s="24">
        <v>6.4000000000000005E-4</v>
      </c>
      <c r="C12" s="38">
        <v>19169.310000000001</v>
      </c>
      <c r="D12" s="38">
        <f t="shared" si="1"/>
        <v>12.268358400000002</v>
      </c>
      <c r="M12">
        <f>($B$16/5)</f>
        <v>3.3600000000000004E-4</v>
      </c>
      <c r="N12" s="38">
        <f>($C$16*Params!K18)</f>
        <v>132960.16</v>
      </c>
      <c r="O12" s="41">
        <f>(N12*M12)</f>
        <v>44.674613760000007</v>
      </c>
      <c r="R12" s="24">
        <f>(B13+B11+B14)</f>
        <v>5.5000000000000003E-4</v>
      </c>
      <c r="S12" s="38">
        <f>(T12/R12)</f>
        <v>18256.087454545454</v>
      </c>
      <c r="T12" s="38">
        <f>(D13+D11+D14)</f>
        <v>10.0408481</v>
      </c>
    </row>
    <row r="13" spans="2:20">
      <c r="B13" s="24">
        <v>-5.0000000000000001E-4</v>
      </c>
      <c r="C13" s="38">
        <v>20709.080000000002</v>
      </c>
      <c r="D13" s="38">
        <f t="shared" si="1"/>
        <v>-10.354540000000002</v>
      </c>
      <c r="R13" s="24">
        <f>(B15)</f>
        <v>2.5799999999999998E-3</v>
      </c>
      <c r="S13" s="38">
        <v>18969</v>
      </c>
      <c r="T13" s="38">
        <f>(S13*R13)</f>
        <v>48.940019999999997</v>
      </c>
    </row>
    <row r="14" spans="2:20">
      <c r="B14" s="24">
        <v>5.4000000000000001E-4</v>
      </c>
      <c r="C14" s="38">
        <v>19000</v>
      </c>
      <c r="D14" s="38">
        <f t="shared" si="1"/>
        <v>10.26</v>
      </c>
      <c r="O14" s="41">
        <f>(SUM(O9:O12))</f>
        <v>85.229527010000012</v>
      </c>
      <c r="R14" s="24">
        <f>(B16+B26)</f>
        <v>1.3440000000000001E-3</v>
      </c>
      <c r="S14" s="38">
        <f t="shared" ref="S14:S21" si="2">(T14/R14)</f>
        <v>15530.268355654764</v>
      </c>
      <c r="T14" s="38">
        <f>(D16+D26)</f>
        <v>20.872680670000005</v>
      </c>
    </row>
    <row r="15" spans="2:20">
      <c r="B15" s="24">
        <v>2.5799999999999998E-3</v>
      </c>
      <c r="C15" s="38">
        <v>18969</v>
      </c>
      <c r="D15" s="38">
        <f t="shared" si="1"/>
        <v>48.940019999999997</v>
      </c>
      <c r="R15" s="24">
        <f>(B17+B18+B21+B33)</f>
        <v>3.7333999999999989E-4</v>
      </c>
      <c r="S15" s="38">
        <f t="shared" si="2"/>
        <v>93.555472223709913</v>
      </c>
      <c r="T15" s="38">
        <f>(D17+D18+D21+D33)</f>
        <v>3.4927999999999848E-2</v>
      </c>
    </row>
    <row r="16" spans="2:20">
      <c r="B16" s="24">
        <v>1.6800000000000001E-3</v>
      </c>
      <c r="C16" s="38">
        <v>16620.02</v>
      </c>
      <c r="D16" s="38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8">
        <f t="shared" si="2"/>
        <v>15650.000000000033</v>
      </c>
      <c r="T16" s="38">
        <f>(D19+D27)</f>
        <v>7.5119999999999996</v>
      </c>
    </row>
    <row r="17" spans="2:21">
      <c r="B17" s="24">
        <v>9.2133999999999998E-4</v>
      </c>
      <c r="C17" s="38">
        <f t="shared" ref="C17:C26" si="3">(D17/B17)</f>
        <v>11244.491718583802</v>
      </c>
      <c r="D17" s="38">
        <v>10.36</v>
      </c>
      <c r="L17" t="s">
        <v>11</v>
      </c>
      <c r="M17">
        <f>($B$17/5)</f>
        <v>1.8426799999999999E-4</v>
      </c>
      <c r="N17" s="38">
        <f>(C18)</f>
        <v>16444.444444444442</v>
      </c>
      <c r="O17" s="41">
        <f>(N17*M17)</f>
        <v>3.030184888888888</v>
      </c>
      <c r="P17" t="s">
        <v>12</v>
      </c>
      <c r="R17" s="24">
        <f>(B20+B28)</f>
        <v>7.3329999999999999E-4</v>
      </c>
      <c r="S17" s="38">
        <f t="shared" si="2"/>
        <v>16031.774171553252</v>
      </c>
      <c r="T17" s="38">
        <f>(D20+D28)</f>
        <v>11.7561</v>
      </c>
    </row>
    <row r="18" spans="2:21">
      <c r="B18" s="24">
        <v>-1.8000000000000001E-4</v>
      </c>
      <c r="C18" s="38">
        <f t="shared" si="3"/>
        <v>16444.444444444442</v>
      </c>
      <c r="D18" s="38">
        <f>(-2.96)</f>
        <v>-2.96</v>
      </c>
      <c r="M18">
        <f>($B$17/5)</f>
        <v>1.8426799999999999E-4</v>
      </c>
      <c r="N18" s="38">
        <f>(C21)</f>
        <v>17119.565217391304</v>
      </c>
      <c r="O18" s="41">
        <f>(N18*M18)</f>
        <v>3.1545880434782605</v>
      </c>
      <c r="P18" t="s">
        <v>12</v>
      </c>
      <c r="R18" s="24">
        <f>(B22+B27)</f>
        <v>4.6000000000000001E-4</v>
      </c>
      <c r="S18" s="38">
        <f t="shared" si="2"/>
        <v>15907.391304347828</v>
      </c>
      <c r="T18" s="38">
        <f>(D22+D29)</f>
        <v>7.317400000000001</v>
      </c>
    </row>
    <row r="19" spans="2:21">
      <c r="B19" s="24">
        <v>5.9999999999999897E-4</v>
      </c>
      <c r="C19" s="38">
        <f t="shared" si="3"/>
        <v>16700.000000000029</v>
      </c>
      <c r="D19" s="38">
        <v>10.02</v>
      </c>
      <c r="F19" s="24"/>
      <c r="I19" s="39"/>
      <c r="M19">
        <f>($B$17/5)</f>
        <v>1.8426799999999999E-4</v>
      </c>
      <c r="N19" s="38">
        <f>(C33)</f>
        <v>22908</v>
      </c>
      <c r="O19" s="41">
        <f>(N19*M19)</f>
        <v>4.2212113439999994</v>
      </c>
      <c r="P19" t="s">
        <v>12</v>
      </c>
      <c r="R19" s="24">
        <f>(B23+B32)</f>
        <v>5.6685499999999996E-3</v>
      </c>
      <c r="S19" s="38">
        <f t="shared" si="2"/>
        <v>22916.971500648313</v>
      </c>
      <c r="T19" s="38">
        <f>(D23+17438.6*B32)</f>
        <v>129.90599879999999</v>
      </c>
      <c r="U19" t="s">
        <v>10</v>
      </c>
    </row>
    <row r="20" spans="2:21">
      <c r="B20" s="24">
        <v>9.1330000000000003E-4</v>
      </c>
      <c r="C20" s="38">
        <f t="shared" si="3"/>
        <v>17080.915361874519</v>
      </c>
      <c r="D20" s="38">
        <v>15.6</v>
      </c>
      <c r="M20">
        <f>($B$17/5)</f>
        <v>1.8426799999999999E-4</v>
      </c>
      <c r="N20" s="38">
        <f>($C$17*Params!K18)</f>
        <v>89955.933748670417</v>
      </c>
      <c r="O20" s="41">
        <f>(N20*M20)</f>
        <v>16.576000000000001</v>
      </c>
      <c r="R20" s="24">
        <f>(B24+B31)</f>
        <v>1.2795899999999999E-3</v>
      </c>
      <c r="S20" s="38">
        <f t="shared" si="2"/>
        <v>24542.204063801684</v>
      </c>
      <c r="T20" s="38">
        <f>(D24+17211.7*B31)</f>
        <v>31.403958897999996</v>
      </c>
      <c r="U20" t="s">
        <v>15</v>
      </c>
    </row>
    <row r="21" spans="2:21">
      <c r="B21" s="24">
        <v>-1.84E-4</v>
      </c>
      <c r="C21" s="38">
        <f t="shared" si="3"/>
        <v>17119.565217391304</v>
      </c>
      <c r="D21" s="38">
        <v>-3.15</v>
      </c>
      <c r="R21" s="24">
        <f>(B25+B30)</f>
        <v>2.376E-5</v>
      </c>
      <c r="S21" s="38">
        <f t="shared" si="2"/>
        <v>15653.771043771043</v>
      </c>
      <c r="T21" s="38">
        <f>(D25+D30)</f>
        <v>0.37193359999999998</v>
      </c>
    </row>
    <row r="22" spans="2:21">
      <c r="B22" s="24">
        <v>5.8E-4</v>
      </c>
      <c r="C22" s="38">
        <f t="shared" si="3"/>
        <v>17034.482758620692</v>
      </c>
      <c r="D22" s="38">
        <v>9.8800000000000008</v>
      </c>
      <c r="O22" s="41">
        <f>(SUM(O17:O20))</f>
        <v>26.98198427636715</v>
      </c>
      <c r="R22" s="24">
        <f>(B31-B31)</f>
        <v>0</v>
      </c>
      <c r="S22" s="38">
        <v>0</v>
      </c>
      <c r="T22" s="38">
        <f>(17211.7*-B31+D31)</f>
        <v>-0.22637249800000003</v>
      </c>
      <c r="U22" t="s">
        <v>16</v>
      </c>
    </row>
    <row r="23" spans="2:21">
      <c r="B23" s="24">
        <v>6.0105499999999999E-3</v>
      </c>
      <c r="C23" s="38">
        <f t="shared" si="3"/>
        <v>22605.252431141911</v>
      </c>
      <c r="D23" s="38">
        <v>135.87</v>
      </c>
      <c r="E23" t="s">
        <v>10</v>
      </c>
      <c r="R23" s="24">
        <f>(B32-B32)</f>
        <v>0</v>
      </c>
      <c r="S23" s="38">
        <v>0</v>
      </c>
      <c r="T23" s="38">
        <f>(17438.6*-B32+D32)</f>
        <v>-1.4915987999999993</v>
      </c>
      <c r="U23" t="s">
        <v>17</v>
      </c>
    </row>
    <row r="24" spans="2:21">
      <c r="B24" s="24">
        <v>1.33165E-3</v>
      </c>
      <c r="C24" s="38">
        <f t="shared" si="3"/>
        <v>24255.622723688655</v>
      </c>
      <c r="D24" s="38">
        <v>32.299999999999997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1.55882E-3</v>
      </c>
      <c r="S24" s="38">
        <f>(T24/R24)</f>
        <v>25756.662090555674</v>
      </c>
      <c r="T24" s="38">
        <f>(D34)</f>
        <v>40.15</v>
      </c>
      <c r="U24" t="s">
        <v>18</v>
      </c>
    </row>
    <row r="25" spans="2:21">
      <c r="B25" s="24">
        <v>2.97E-5</v>
      </c>
      <c r="C25" s="38">
        <f t="shared" si="3"/>
        <v>16835.016835016835</v>
      </c>
      <c r="D25" s="38">
        <v>0.5</v>
      </c>
      <c r="L25" t="s">
        <v>11</v>
      </c>
      <c r="M25">
        <f>($B$19/5)</f>
        <v>1.199999999999998E-4</v>
      </c>
      <c r="N25" s="38">
        <f>(C27)</f>
        <v>20900</v>
      </c>
      <c r="O25" s="41">
        <f>(N25*M25)</f>
        <v>2.507999999999996</v>
      </c>
      <c r="P25" t="s">
        <v>12</v>
      </c>
    </row>
    <row r="26" spans="2:21">
      <c r="B26" s="24">
        <v>-3.3599999999999998E-4</v>
      </c>
      <c r="C26" s="38">
        <f t="shared" si="3"/>
        <v>20979.026577380951</v>
      </c>
      <c r="D26" s="38">
        <f>(-7.04895293)</f>
        <v>-7.0489529299999996</v>
      </c>
      <c r="M26">
        <f>($B$19/5)</f>
        <v>1.199999999999998E-4</v>
      </c>
      <c r="N26" s="38">
        <f>($C$19*Params!K16)</f>
        <v>33400.000000000058</v>
      </c>
      <c r="O26" s="41">
        <f>(N26*M26)</f>
        <v>4.008</v>
      </c>
    </row>
    <row r="27" spans="2:21">
      <c r="B27" s="24">
        <v>-1.2E-4</v>
      </c>
      <c r="C27" s="38">
        <v>20900</v>
      </c>
      <c r="D27" s="38">
        <f>(C27*B27)</f>
        <v>-2.508</v>
      </c>
      <c r="M27">
        <f>($B$19/5)</f>
        <v>1.199999999999998E-4</v>
      </c>
      <c r="N27" s="38">
        <f>($C$19*Params!K17)</f>
        <v>66800.000000000116</v>
      </c>
      <c r="O27" s="41">
        <f>(N27*M27)</f>
        <v>8.016</v>
      </c>
    </row>
    <row r="28" spans="2:21">
      <c r="B28" s="24">
        <v>-1.8000000000000001E-4</v>
      </c>
      <c r="C28" s="38">
        <v>21355</v>
      </c>
      <c r="D28" s="38">
        <f>(B28*C28)</f>
        <v>-3.8439000000000001</v>
      </c>
      <c r="M28">
        <f>($B$19/5)</f>
        <v>1.199999999999998E-4</v>
      </c>
      <c r="N28" s="38">
        <f>($C$19*Params!K18)</f>
        <v>133600.00000000023</v>
      </c>
      <c r="O28" s="41">
        <f>(N28*M28)</f>
        <v>16.032</v>
      </c>
    </row>
    <row r="29" spans="2:21">
      <c r="B29" s="24">
        <v>-1.2E-4</v>
      </c>
      <c r="C29" s="38">
        <v>21355</v>
      </c>
      <c r="D29" s="38">
        <f>(C29*B29)</f>
        <v>-2.5626000000000002</v>
      </c>
    </row>
    <row r="30" spans="2:21">
      <c r="B30" s="24">
        <f>(-M65)</f>
        <v>-5.9399999999999999E-6</v>
      </c>
      <c r="C30" s="38">
        <v>21560</v>
      </c>
      <c r="D30" s="38">
        <f>(C30*B30)</f>
        <v>-0.1280664</v>
      </c>
      <c r="O30" s="41">
        <f>(SUM(O25:O28))</f>
        <v>30.563999999999997</v>
      </c>
    </row>
    <row r="31" spans="2:21">
      <c r="B31" s="24">
        <f>(-0.000058-B30)</f>
        <v>-5.206E-5</v>
      </c>
      <c r="C31" s="38">
        <v>21560</v>
      </c>
      <c r="D31" s="38">
        <f>(C31*B31)</f>
        <v>-1.1224136</v>
      </c>
    </row>
    <row r="32" spans="2:21">
      <c r="B32" s="24">
        <v>-3.4200000000000002E-4</v>
      </c>
      <c r="C32" s="38">
        <f>(D32/B32)</f>
        <v>21799.999999999996</v>
      </c>
      <c r="D32" s="38">
        <v>-7.4555999999999996</v>
      </c>
      <c r="M32" t="s">
        <v>0</v>
      </c>
      <c r="N32" t="s">
        <v>1</v>
      </c>
      <c r="O32" t="s">
        <v>2</v>
      </c>
    </row>
    <row r="33" spans="2:20">
      <c r="B33" s="24">
        <f>(-0.000184)</f>
        <v>-1.84E-4</v>
      </c>
      <c r="C33" s="38">
        <f>(D33/B33)</f>
        <v>22908</v>
      </c>
      <c r="D33" s="38">
        <f>(-4.215072)</f>
        <v>-4.2150720000000002</v>
      </c>
      <c r="L33" t="s">
        <v>11</v>
      </c>
      <c r="M33">
        <f>($B$20/5)</f>
        <v>1.8266000000000002E-4</v>
      </c>
      <c r="N33" s="38">
        <f>(C28)</f>
        <v>21355</v>
      </c>
      <c r="O33" s="41">
        <f>(N33*M33)</f>
        <v>3.9007043000000006</v>
      </c>
      <c r="P33" t="s">
        <v>12</v>
      </c>
    </row>
    <row r="34" spans="2:20">
      <c r="B34" s="24">
        <v>1.55882E-3</v>
      </c>
      <c r="C34" s="38">
        <f>(D34/B34)</f>
        <v>25756.662090555674</v>
      </c>
      <c r="D34" s="38">
        <v>40.15</v>
      </c>
      <c r="E34" t="s">
        <v>18</v>
      </c>
      <c r="M34">
        <f>($B$20/5)</f>
        <v>1.8266000000000002E-4</v>
      </c>
      <c r="N34" s="38">
        <f>($C$20*Params!K16)</f>
        <v>34161.830723749037</v>
      </c>
      <c r="O34" s="41">
        <f>(N34*M34)</f>
        <v>6.2399999999999993</v>
      </c>
    </row>
    <row r="35" spans="2:20">
      <c r="B35" s="24">
        <f>0.00073-0.00000073</f>
        <v>7.2926999999999996E-4</v>
      </c>
      <c r="C35" s="38">
        <f>(D35/B35)</f>
        <v>27395.295295295298</v>
      </c>
      <c r="D35" s="38">
        <v>19.978567000000002</v>
      </c>
      <c r="M35">
        <f>($B$20/5)</f>
        <v>1.8266000000000002E-4</v>
      </c>
      <c r="N35" s="38">
        <f>($C$20*Params!K17)</f>
        <v>68323.661447498074</v>
      </c>
      <c r="O35" s="41">
        <f>(N35*M35)</f>
        <v>12.479999999999999</v>
      </c>
    </row>
    <row r="36" spans="2:20">
      <c r="F36" t="s">
        <v>9</v>
      </c>
      <c r="G36" s="39">
        <f>(D37/B37)</f>
        <v>23670.052268935393</v>
      </c>
      <c r="M36">
        <f>($B$20/5)</f>
        <v>1.8266000000000002E-4</v>
      </c>
      <c r="N36" s="38">
        <f>($C$20*Params!K18)</f>
        <v>136647.32289499615</v>
      </c>
      <c r="O36" s="41">
        <f>(N36*M36)</f>
        <v>24.959999999999997</v>
      </c>
      <c r="R36">
        <f>(SUM(R5:R25))</f>
        <v>2.8136249999999998E-2</v>
      </c>
      <c r="T36" s="38">
        <f>(SUM(T5:T25))</f>
        <v>499.16980016999997</v>
      </c>
    </row>
    <row r="37" spans="2:20">
      <c r="B37">
        <f>(SUM(B5:B36))</f>
        <v>2.8865520000000006E-2</v>
      </c>
      <c r="D37" s="38">
        <f>(SUM(D5:D36))</f>
        <v>683.24836717000005</v>
      </c>
    </row>
    <row r="38" spans="2:20">
      <c r="O38" s="41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8">
        <f>(C29)</f>
        <v>21355</v>
      </c>
      <c r="O41" s="41">
        <f>(N41*M41)</f>
        <v>2.5626000000000002</v>
      </c>
      <c r="P41" t="s">
        <v>12</v>
      </c>
    </row>
    <row r="42" spans="2:20">
      <c r="M42">
        <f>($B$22/5)</f>
        <v>1.16E-4</v>
      </c>
      <c r="N42" s="38">
        <f>($C$22*Params!K16)</f>
        <v>34068.965517241384</v>
      </c>
      <c r="O42" s="41">
        <f>(N42*M42)</f>
        <v>3.9520000000000004</v>
      </c>
    </row>
    <row r="43" spans="2:20">
      <c r="M43">
        <f>($B$22/5)</f>
        <v>1.16E-4</v>
      </c>
      <c r="N43" s="38">
        <f>($C$22*Params!K17)</f>
        <v>68137.931034482768</v>
      </c>
      <c r="O43" s="41">
        <f>(N43*M43)</f>
        <v>7.9040000000000008</v>
      </c>
    </row>
    <row r="44" spans="2:20">
      <c r="M44">
        <f>($B$22/5)</f>
        <v>1.16E-4</v>
      </c>
      <c r="N44" s="38">
        <f>($C$22*Params!K18)</f>
        <v>136275.86206896554</v>
      </c>
      <c r="O44" s="41">
        <f>(N44*M44)</f>
        <v>15.808000000000002</v>
      </c>
    </row>
    <row r="46" spans="2:20">
      <c r="O46" s="41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8">
        <f>(C32)</f>
        <v>21799.999999999996</v>
      </c>
      <c r="O49" s="41">
        <f>(N49*M49)</f>
        <v>7.4555999999999996</v>
      </c>
      <c r="P49" t="s">
        <v>12</v>
      </c>
    </row>
    <row r="50" spans="12:16">
      <c r="M50">
        <f>(2*($R$19+M49)/5-M49)</f>
        <v>2.06222E-3</v>
      </c>
      <c r="N50" s="38">
        <f>($S$19*Params!K16)</f>
        <v>45833.943001296626</v>
      </c>
      <c r="O50" s="41">
        <f>(N50*M50)</f>
        <v>94.519673936133927</v>
      </c>
    </row>
    <row r="51" spans="12:16">
      <c r="M51">
        <f>($B$23/5)</f>
        <v>1.2021099999999999E-3</v>
      </c>
      <c r="N51" s="38">
        <f>($S$19*Params!K17)</f>
        <v>91667.886002593252</v>
      </c>
      <c r="O51" s="41">
        <f>(N51*M51)</f>
        <v>110.19488244257737</v>
      </c>
    </row>
    <row r="52" spans="12:16">
      <c r="M52">
        <f>($B$23/5)</f>
        <v>1.2021099999999999E-3</v>
      </c>
      <c r="N52" s="38">
        <f>($S$19*Params!K18)</f>
        <v>183335.7720051865</v>
      </c>
      <c r="O52" s="41">
        <f>(N52*M52)</f>
        <v>220.38976488515473</v>
      </c>
    </row>
    <row r="54" spans="12:16">
      <c r="O54" s="41">
        <f>(SUM(O49:O52))</f>
        <v>432.55992126386604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8">
        <f>(C31)</f>
        <v>21560</v>
      </c>
      <c r="O57" s="41">
        <f>(N57*M57)</f>
        <v>1.1224136</v>
      </c>
      <c r="P57" t="s">
        <v>12</v>
      </c>
    </row>
    <row r="58" spans="12:16">
      <c r="M58">
        <f>(2*($R$20+M57)/5-M57)</f>
        <v>4.8060000000000003E-4</v>
      </c>
      <c r="N58" s="38">
        <f>($S$20*Params!K16)</f>
        <v>49084.408127603368</v>
      </c>
      <c r="O58" s="41">
        <f>(N58*M58)</f>
        <v>23.589966546126181</v>
      </c>
    </row>
    <row r="59" spans="12:16">
      <c r="M59">
        <f>($B$24/5)</f>
        <v>2.6633000000000001E-4</v>
      </c>
      <c r="N59" s="38">
        <f>($S$20*Params!K17)</f>
        <v>98168.816255206737</v>
      </c>
      <c r="O59" s="41">
        <f>(N59*M59)</f>
        <v>26.145300833249213</v>
      </c>
    </row>
    <row r="60" spans="12:16">
      <c r="M60">
        <f>($B$24/5)</f>
        <v>2.6633000000000001E-4</v>
      </c>
      <c r="N60" s="38">
        <f>($S$20*Params!K18)</f>
        <v>196337.63251041347</v>
      </c>
      <c r="O60" s="41">
        <f>(N60*M60)</f>
        <v>52.290601666498425</v>
      </c>
    </row>
    <row r="62" spans="12:16">
      <c r="O62" s="41">
        <f>(SUM(O57:O60))</f>
        <v>103.14828264587382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8">
        <f>(C30)</f>
        <v>21560</v>
      </c>
      <c r="O65" s="41">
        <f>(N65*M65)</f>
        <v>0.1280664</v>
      </c>
      <c r="P65" t="s">
        <v>12</v>
      </c>
    </row>
    <row r="66" spans="12:16">
      <c r="M66">
        <f>($B$25/5)</f>
        <v>5.9399999999999999E-6</v>
      </c>
      <c r="N66" s="38">
        <f>($C$25*Params!K16)</f>
        <v>33670.03367003367</v>
      </c>
      <c r="O66" s="41">
        <f>(N66*M66)</f>
        <v>0.19999999999999998</v>
      </c>
    </row>
    <row r="67" spans="12:16">
      <c r="M67">
        <f>($B$25/5)</f>
        <v>5.9399999999999999E-6</v>
      </c>
      <c r="N67" s="38">
        <f>($C$25*Params!K17)</f>
        <v>67340.06734006734</v>
      </c>
      <c r="O67" s="41">
        <f>(N67*M67)</f>
        <v>0.39999999999999997</v>
      </c>
    </row>
    <row r="68" spans="12:16">
      <c r="M68">
        <f>($B$25/5)</f>
        <v>5.9399999999999999E-6</v>
      </c>
      <c r="N68" s="38">
        <f>($C$25*Params!K18)</f>
        <v>134680.13468013468</v>
      </c>
      <c r="O68" s="41">
        <f>(N68*M68)</f>
        <v>0.79999999999999993</v>
      </c>
    </row>
    <row r="70" spans="12:16">
      <c r="O70" s="41">
        <f>(SUM(O65:O68))</f>
        <v>1.5280663999999997</v>
      </c>
    </row>
    <row r="72" spans="12:16">
      <c r="L72" t="s">
        <v>22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3.1176400000000002E-4</v>
      </c>
      <c r="N73" s="38">
        <f>($S$24*Params!K15)</f>
        <v>38634.993135833509</v>
      </c>
      <c r="O73" s="41">
        <f>(N73*M73)</f>
        <v>12.044999999999998</v>
      </c>
    </row>
    <row r="74" spans="12:16">
      <c r="M74">
        <f>($R$24/5)</f>
        <v>3.1176400000000002E-4</v>
      </c>
      <c r="N74" s="38">
        <f>($S$24*Params!K16)</f>
        <v>51513.324181111348</v>
      </c>
      <c r="O74" s="41">
        <f>(N74*M74)</f>
        <v>16.059999999999999</v>
      </c>
    </row>
    <row r="75" spans="12:16">
      <c r="M75">
        <f>($R$24/5)</f>
        <v>3.1176400000000002E-4</v>
      </c>
      <c r="N75" s="38">
        <f>($S$24*Params!K17)</f>
        <v>103026.6483622227</v>
      </c>
      <c r="O75" s="41">
        <f>(N75*M75)</f>
        <v>32.119999999999997</v>
      </c>
    </row>
    <row r="76" spans="12:16">
      <c r="M76">
        <f>($R$24/5)</f>
        <v>3.1176400000000002E-4</v>
      </c>
      <c r="N76" s="38">
        <f>($S$24*Params!K18)</f>
        <v>206053.29672444539</v>
      </c>
      <c r="O76" s="41">
        <f>(N76*M76)</f>
        <v>64.239999999999995</v>
      </c>
    </row>
    <row r="78" spans="12:16">
      <c r="O78" s="41">
        <f>(SUM(O73:O76))</f>
        <v>124.46499999999999</v>
      </c>
    </row>
  </sheetData>
  <conditionalFormatting sqref="C5 C7:C17 C19:C20 C22:C25 C34:C35 G36 N10:N12 N20 N26:N28 N34 S5 S7:S21 S24">
    <cfRule type="cellIs" dxfId="263" priority="45" operator="lessThan">
      <formula>$J$3</formula>
    </cfRule>
    <cfRule type="cellIs" dxfId="262" priority="46" operator="greaterThan">
      <formula>$J$3</formula>
    </cfRule>
  </conditionalFormatting>
  <conditionalFormatting sqref="N35:N36">
    <cfRule type="cellIs" dxfId="261" priority="19" operator="lessThan">
      <formula>$J$3</formula>
    </cfRule>
    <cfRule type="cellIs" dxfId="260" priority="20" operator="greaterThan">
      <formula>$J$3</formula>
    </cfRule>
  </conditionalFormatting>
  <conditionalFormatting sqref="N42:N44">
    <cfRule type="cellIs" dxfId="259" priority="17" operator="lessThan">
      <formula>$J$3</formula>
    </cfRule>
    <cfRule type="cellIs" dxfId="258" priority="18" operator="greaterThan">
      <formula>$J$3</formula>
    </cfRule>
  </conditionalFormatting>
  <conditionalFormatting sqref="N50:N52">
    <cfRule type="cellIs" dxfId="257" priority="15" operator="lessThan">
      <formula>$J$3</formula>
    </cfRule>
    <cfRule type="cellIs" dxfId="256" priority="16" operator="greaterThan">
      <formula>$J$3</formula>
    </cfRule>
  </conditionalFormatting>
  <conditionalFormatting sqref="N58:N60">
    <cfRule type="cellIs" dxfId="255" priority="13" operator="lessThan">
      <formula>$J$3</formula>
    </cfRule>
    <cfRule type="cellIs" dxfId="254" priority="14" operator="greaterThan">
      <formula>$J$3</formula>
    </cfRule>
  </conditionalFormatting>
  <conditionalFormatting sqref="N66:N68">
    <cfRule type="cellIs" dxfId="253" priority="11" operator="lessThan">
      <formula>$J$3</formula>
    </cfRule>
    <cfRule type="cellIs" dxfId="252" priority="12" operator="greaterThan">
      <formula>$J$3</formula>
    </cfRule>
  </conditionalFormatting>
  <conditionalFormatting sqref="N73:N76">
    <cfRule type="cellIs" dxfId="251" priority="9" operator="lessThan">
      <formula>$J$3</formula>
    </cfRule>
    <cfRule type="cellIs" dxfId="250" priority="10" operator="greaterThan">
      <formula>$J$3</formula>
    </cfRule>
  </conditionalFormatting>
  <conditionalFormatting sqref="N4">
    <cfRule type="cellIs" dxfId="249" priority="1" operator="greaterThan">
      <formula>$J$3</formula>
    </cfRule>
    <cfRule type="cellIs" dxfId="248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6.7899617423003438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7.88388202206127</v>
      </c>
      <c r="K4" s="4">
        <f>(J4/D10-1)</f>
        <v>6.8814842990128078E-3</v>
      </c>
    </row>
    <row r="5" spans="2:16">
      <c r="B5" s="1">
        <v>1.1600703000000001</v>
      </c>
      <c r="C5" s="38">
        <f>(D5/B5)</f>
        <v>6.7495909515138859</v>
      </c>
      <c r="D5" s="38">
        <v>7.83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1.03816E-3</v>
      </c>
      <c r="C6" s="40">
        <v>0</v>
      </c>
      <c r="D6" s="26">
        <f>(B6*C6)</f>
        <v>0</v>
      </c>
      <c r="E6" s="38">
        <f>(B6*J3)</f>
        <v>7.0490666823865246E-3</v>
      </c>
      <c r="M6" t="s">
        <v>11</v>
      </c>
      <c r="N6" s="24">
        <f>($B$10/5)</f>
        <v>0.23222169200000004</v>
      </c>
      <c r="O6" s="38">
        <f>($C$5*Params!K8)</f>
        <v>8.7744682369680511</v>
      </c>
      <c r="P6" s="38">
        <f>(O6*N6)</f>
        <v>2.037621860388978</v>
      </c>
    </row>
    <row r="7" spans="2:16">
      <c r="C7" s="38"/>
      <c r="D7" s="38"/>
      <c r="N7" s="24">
        <f>($B$10/5)</f>
        <v>0.23222169200000004</v>
      </c>
      <c r="O7" s="38">
        <f>($C$5*Params!K9)</f>
        <v>10.799345522422218</v>
      </c>
      <c r="P7" s="38">
        <f>(O7*N7)</f>
        <v>2.5078422897095116</v>
      </c>
    </row>
    <row r="8" spans="2:16">
      <c r="C8" s="38"/>
      <c r="D8" s="38"/>
      <c r="N8" s="24">
        <f>($B$10/5)</f>
        <v>0.23222169200000004</v>
      </c>
      <c r="O8" s="38">
        <f>($C$5*Params!K10)</f>
        <v>14.84910009333055</v>
      </c>
      <c r="P8" s="38">
        <f>(O8*N8)</f>
        <v>3.4482831483505789</v>
      </c>
    </row>
    <row r="9" spans="2:16">
      <c r="C9" s="38"/>
      <c r="D9" s="38"/>
      <c r="F9" t="s">
        <v>9</v>
      </c>
      <c r="G9" s="38">
        <f>(D10/B10)</f>
        <v>6.7435560671050485</v>
      </c>
      <c r="N9" s="24">
        <f>($B$10/5)</f>
        <v>0.23222169200000004</v>
      </c>
      <c r="O9" s="38">
        <f>($C$5*Params!K11)</f>
        <v>26.998363806055544</v>
      </c>
      <c r="P9" s="38">
        <f>(O9*N9)</f>
        <v>6.269605724273779</v>
      </c>
    </row>
    <row r="10" spans="2:16">
      <c r="B10">
        <f>(SUM(B5:B9))</f>
        <v>1.1611084600000001</v>
      </c>
      <c r="C10" s="38"/>
      <c r="D10" s="38">
        <f>(SUM(D5:D9))</f>
        <v>7.83</v>
      </c>
      <c r="O10" s="38"/>
      <c r="P10" s="38"/>
    </row>
    <row r="11" spans="2:16">
      <c r="O11" s="38"/>
      <c r="P11" s="38">
        <f>(SUM(P6:P9))</f>
        <v>14.263353022722846</v>
      </c>
    </row>
  </sheetData>
  <conditionalFormatting sqref="O6:O9">
    <cfRule type="cellIs" dxfId="135" priority="5" operator="lessThan">
      <formula>$J$3</formula>
    </cfRule>
    <cfRule type="cellIs" dxfId="134" priority="6" operator="greaterThan">
      <formula>$J$3</formula>
    </cfRule>
  </conditionalFormatting>
  <conditionalFormatting sqref="C5">
    <cfRule type="cellIs" dxfId="133" priority="3" operator="lessThan">
      <formula>$J$3</formula>
    </cfRule>
    <cfRule type="cellIs" dxfId="132" priority="4" operator="greaterThan">
      <formula>$J$3</formula>
    </cfRule>
  </conditionalFormatting>
  <conditionalFormatting sqref="G9">
    <cfRule type="cellIs" dxfId="131" priority="1" operator="lessThan">
      <formula>$J$3</formula>
    </cfRule>
    <cfRule type="cellIs" dxfId="130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U34"/>
  <sheetViews>
    <sheetView workbookViewId="0">
      <selection activeCell="D19" sqref="D1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93.765406522143167</v>
      </c>
      <c r="M3" t="s">
        <v>4</v>
      </c>
      <c r="N3" s="24">
        <f>(INDEX(N5:N14,MATCH(MAX(O6),O5:O14,0))/0.9)</f>
        <v>3.4726666666666663E-2</v>
      </c>
      <c r="O3" s="39">
        <f>(MAX(O6)*0.85)</f>
        <v>77.56409154028286</v>
      </c>
      <c r="P3" s="38">
        <f>(O3*N3)</f>
        <v>2.6935423522222224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12.049398577453225</v>
      </c>
      <c r="K4" s="4">
        <f>(J4/D14-1)</f>
        <v>0.66293140668434059</v>
      </c>
      <c r="O4" s="38"/>
      <c r="P4" s="38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38">
        <f>(D5/B5)</f>
        <v>65.731785393608504</v>
      </c>
      <c r="D5" s="38">
        <v>0.5</v>
      </c>
      <c r="N5" t="s">
        <v>29</v>
      </c>
      <c r="O5" t="s">
        <v>1</v>
      </c>
      <c r="P5" t="s">
        <v>2</v>
      </c>
      <c r="R5" s="1">
        <f>(B5)</f>
        <v>7.6066700000000003E-3</v>
      </c>
      <c r="S5" s="38">
        <f>(T5/R5)</f>
        <v>65.731785393608504</v>
      </c>
      <c r="T5" s="38">
        <f>(D5)</f>
        <v>0.5</v>
      </c>
    </row>
    <row r="6" spans="2:21">
      <c r="B6" s="2">
        <v>5.2223000000000005E-4</v>
      </c>
      <c r="C6" s="40">
        <v>0</v>
      </c>
      <c r="D6" s="26">
        <f>(B6*C6)</f>
        <v>0</v>
      </c>
      <c r="E6" s="38">
        <f>(B6*J3)</f>
        <v>4.8967108248058833E-2</v>
      </c>
      <c r="M6" t="s">
        <v>11</v>
      </c>
      <c r="N6" s="51">
        <f>-B10</f>
        <v>3.1253999999999997E-2</v>
      </c>
      <c r="O6" s="38">
        <f>P6/N6</f>
        <v>91.251872400332772</v>
      </c>
      <c r="P6" s="38">
        <f>-D10</f>
        <v>2.85198602</v>
      </c>
      <c r="R6" s="2">
        <f>(B6)</f>
        <v>5.2223000000000005E-4</v>
      </c>
      <c r="S6" s="40">
        <f>(T6/R6)</f>
        <v>0</v>
      </c>
      <c r="T6" s="26">
        <f>(D6)</f>
        <v>0</v>
      </c>
    </row>
    <row r="7" spans="2:21">
      <c r="B7" s="1">
        <v>0.14485500000000001</v>
      </c>
      <c r="C7" s="38">
        <f>(D7/B7)</f>
        <v>68.808808808808806</v>
      </c>
      <c r="D7" s="38">
        <v>9.9672999999999998</v>
      </c>
      <c r="N7" s="51">
        <f>(SUM($B$5:$B$9,$B$11:$B$12)/5)</f>
        <v>3.1951960000000001E-2</v>
      </c>
      <c r="O7" s="38">
        <f>($C$7*Params!K9)</f>
        <v>110.09409409409409</v>
      </c>
      <c r="P7" s="38">
        <f>(O7*N7)</f>
        <v>3.5177220907307309</v>
      </c>
      <c r="R7" s="1">
        <f>(B7)</f>
        <v>0.14485500000000001</v>
      </c>
      <c r="S7" s="38">
        <f>(T7/R7)</f>
        <v>68.808808808808806</v>
      </c>
      <c r="T7" s="38">
        <f>(D7)</f>
        <v>9.9672999999999998</v>
      </c>
    </row>
    <row r="8" spans="2:21">
      <c r="B8" s="1">
        <v>-3.0510700000000002E-2</v>
      </c>
      <c r="C8" s="38">
        <f>(D8/B8)</f>
        <v>91.202314270075746</v>
      </c>
      <c r="D8" s="38">
        <v>-2.7826464500000001</v>
      </c>
      <c r="N8" s="51">
        <f>(SUM($B$5:$B$9,$B$11:$B$12)/5)</f>
        <v>3.1951960000000001E-2</v>
      </c>
      <c r="O8" s="38">
        <f>($C$7*Params!K10)</f>
        <v>151.37937937937937</v>
      </c>
      <c r="P8" s="38">
        <f>(O8*N8)</f>
        <v>4.8368678747547547</v>
      </c>
      <c r="R8" s="1">
        <f>(B8+B9)</f>
        <v>3.3246200000000004E-3</v>
      </c>
      <c r="S8" s="38">
        <v>0</v>
      </c>
      <c r="T8" s="38">
        <f>(D8+D9)</f>
        <v>-0.16264645</v>
      </c>
    </row>
    <row r="9" spans="2:21">
      <c r="B9" s="1">
        <v>3.3835320000000002E-2</v>
      </c>
      <c r="C9" s="38">
        <f>(D9/B9)</f>
        <v>77.433876789106762</v>
      </c>
      <c r="D9" s="38">
        <v>2.62</v>
      </c>
      <c r="N9" s="51">
        <f>(SUM($B$5:$B$9,$B$11:$B$12)/5)</f>
        <v>3.1951960000000001E-2</v>
      </c>
      <c r="O9" s="38">
        <f>($C$7*Params!K11)</f>
        <v>275.23523523523522</v>
      </c>
      <c r="P9" s="38">
        <f>(O9*N9)</f>
        <v>8.7943052268268271</v>
      </c>
      <c r="R9" s="1">
        <f>B10</f>
        <v>-3.1253999999999997E-2</v>
      </c>
      <c r="S9" s="38">
        <f>T9/R9</f>
        <v>91.251872400332772</v>
      </c>
      <c r="T9" s="38">
        <f>D10</f>
        <v>-2.85198602</v>
      </c>
      <c r="U9" s="39"/>
    </row>
    <row r="10" spans="2:21">
      <c r="B10" s="1">
        <v>-3.1253999999999997E-2</v>
      </c>
      <c r="C10" s="38">
        <f>(D10/B10)</f>
        <v>91.251872400332772</v>
      </c>
      <c r="D10" s="38">
        <v>-2.85198602</v>
      </c>
      <c r="O10" s="38"/>
      <c r="P10" s="38"/>
      <c r="R10" s="1">
        <f>B11+B12</f>
        <v>3.451280000000001E-3</v>
      </c>
      <c r="S10" s="38">
        <v>0</v>
      </c>
      <c r="T10" s="39">
        <f>D11+D12</f>
        <v>-0.20678924000000043</v>
      </c>
    </row>
    <row r="11" spans="2:21">
      <c r="B11" s="1">
        <v>-3.1260999999999997E-2</v>
      </c>
      <c r="C11" s="38">
        <f>(D11/B11)</f>
        <v>110.89821950673365</v>
      </c>
      <c r="D11" s="38">
        <v>-3.4667892400000002</v>
      </c>
      <c r="O11" s="38"/>
      <c r="P11" s="38">
        <f>(SUM(P6:P9))</f>
        <v>20.000881212312315</v>
      </c>
    </row>
    <row r="12" spans="2:21" s="14" customFormat="1">
      <c r="B12" s="1">
        <v>3.4712279999999998E-2</v>
      </c>
      <c r="C12" s="38">
        <f>(D12/B12)</f>
        <v>93.914891214290734</v>
      </c>
      <c r="D12" s="38">
        <v>3.26</v>
      </c>
      <c r="O12" s="38"/>
      <c r="P12" s="38"/>
    </row>
    <row r="13" spans="2:21">
      <c r="F13" t="s">
        <v>9</v>
      </c>
      <c r="G13" s="38">
        <f>(D14/B14)</f>
        <v>56.385612867279143</v>
      </c>
    </row>
    <row r="14" spans="2:21">
      <c r="B14" s="1">
        <f>(SUM(B5:B13))</f>
        <v>0.1285058</v>
      </c>
      <c r="D14" s="38">
        <f>(SUM(D5:D13))</f>
        <v>7.2458782900000003</v>
      </c>
    </row>
    <row r="20" spans="18:20">
      <c r="R20">
        <f>(SUM(R5:R19))</f>
        <v>0.1285058</v>
      </c>
      <c r="T20" s="38">
        <f>(SUM(T5:T19))</f>
        <v>7.2458782899999985</v>
      </c>
    </row>
    <row r="34" spans="9:9">
      <c r="I34" s="39"/>
    </row>
  </sheetData>
  <conditionalFormatting sqref="C5 C7 S5 S7 O7:O9">
    <cfRule type="cellIs" dxfId="19" priority="21" operator="lessThan">
      <formula>$J$3</formula>
    </cfRule>
    <cfRule type="cellIs" dxfId="18" priority="22" operator="greaterThan">
      <formula>$J$3</formula>
    </cfRule>
  </conditionalFormatting>
  <conditionalFormatting sqref="C9">
    <cfRule type="cellIs" dxfId="17" priority="9" operator="lessThan">
      <formula>$J$3</formula>
    </cfRule>
    <cfRule type="cellIs" dxfId="16" priority="10" operator="greaterThan">
      <formula>$J$3</formula>
    </cfRule>
  </conditionalFormatting>
  <conditionalFormatting sqref="O3">
    <cfRule type="cellIs" dxfId="15" priority="7" operator="greaterThan">
      <formula>$J$3</formula>
    </cfRule>
    <cfRule type="cellIs" dxfId="14" priority="8" operator="lessThan">
      <formula>$J$3</formula>
    </cfRule>
  </conditionalFormatting>
  <conditionalFormatting sqref="C12">
    <cfRule type="cellIs" dxfId="13" priority="5" operator="lessThan">
      <formula>$J$3</formula>
    </cfRule>
    <cfRule type="cellIs" dxfId="12" priority="6" operator="greaterThan">
      <formula>$J$3</formula>
    </cfRule>
  </conditionalFormatting>
  <conditionalFormatting sqref="O7">
    <cfRule type="cellIs" dxfId="9" priority="3" operator="lessThan">
      <formula>$J$3</formula>
    </cfRule>
    <cfRule type="cellIs" dxfId="8" priority="4" operator="greaterThan">
      <formula>$J$3</formula>
    </cfRule>
  </conditionalFormatting>
  <conditionalFormatting sqref="G13"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J16"/>
  <sheetViews>
    <sheetView workbookViewId="0">
      <selection activeCell="B13" sqref="B13:D14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</cols>
  <sheetData>
    <row r="3" spans="2:10">
      <c r="I3" t="s">
        <v>3</v>
      </c>
      <c r="J3" s="38">
        <v>0.58906132476998319</v>
      </c>
    </row>
    <row r="4" spans="2:10">
      <c r="B4" t="s">
        <v>5</v>
      </c>
      <c r="C4" t="s">
        <v>6</v>
      </c>
      <c r="D4" t="s">
        <v>7</v>
      </c>
      <c r="I4" t="s">
        <v>8</v>
      </c>
      <c r="J4" s="38">
        <f>(B16*J3)</f>
        <v>1.3262287833049862</v>
      </c>
    </row>
    <row r="5" spans="2:10">
      <c r="B5">
        <v>3.2527046099999999</v>
      </c>
      <c r="C5" s="38">
        <v>0</v>
      </c>
      <c r="D5" s="38">
        <f>(B5*C5)</f>
        <v>0</v>
      </c>
    </row>
    <row r="6" spans="2:10">
      <c r="B6" s="2">
        <v>4.2988779999999997E-2</v>
      </c>
      <c r="C6" s="40">
        <v>0</v>
      </c>
      <c r="D6" s="26">
        <f>(B6*C6)</f>
        <v>0</v>
      </c>
      <c r="E6" s="38">
        <f>(B6*J3)</f>
        <v>2.5323027697045357E-2</v>
      </c>
    </row>
    <row r="7" spans="2:10">
      <c r="B7" s="51">
        <f>-3.25700016-0.002</f>
        <v>-3.2590001599999998</v>
      </c>
      <c r="C7" s="38">
        <f>(D7/B7)</f>
        <v>1.6561619039625946</v>
      </c>
      <c r="D7" s="38">
        <v>-5.3974319099999999</v>
      </c>
    </row>
    <row r="8" spans="2:10">
      <c r="B8">
        <v>0.31639059000000003</v>
      </c>
      <c r="C8" s="38">
        <v>0</v>
      </c>
      <c r="D8" s="38">
        <f t="shared" ref="D8:D14" si="0">(B8*C8)</f>
        <v>0</v>
      </c>
    </row>
    <row r="9" spans="2:10">
      <c r="B9">
        <v>0.31639059000000003</v>
      </c>
      <c r="C9" s="38">
        <v>0</v>
      </c>
      <c r="D9" s="38">
        <f t="shared" si="0"/>
        <v>0</v>
      </c>
    </row>
    <row r="10" spans="2:10">
      <c r="B10">
        <v>0.31639059000000003</v>
      </c>
      <c r="C10" s="38">
        <v>0</v>
      </c>
      <c r="D10" s="38">
        <f t="shared" si="0"/>
        <v>0</v>
      </c>
    </row>
    <row r="11" spans="2:10">
      <c r="B11">
        <v>0.31639059000000003</v>
      </c>
      <c r="C11" s="38">
        <v>0</v>
      </c>
      <c r="D11" s="38">
        <f t="shared" si="0"/>
        <v>0</v>
      </c>
    </row>
    <row r="12" spans="2:10">
      <c r="B12">
        <v>0.31639059000000003</v>
      </c>
      <c r="C12" s="38">
        <v>0</v>
      </c>
      <c r="D12" s="38">
        <f t="shared" si="0"/>
        <v>0</v>
      </c>
    </row>
    <row r="13" spans="2:10">
      <c r="B13">
        <v>0.31639059000000003</v>
      </c>
      <c r="C13" s="38">
        <v>0</v>
      </c>
      <c r="D13" s="38">
        <f t="shared" si="0"/>
        <v>0</v>
      </c>
    </row>
    <row r="14" spans="2:10">
      <c r="B14">
        <v>0.31639059000000003</v>
      </c>
      <c r="C14" s="38">
        <v>0</v>
      </c>
      <c r="D14" s="38">
        <f t="shared" si="0"/>
        <v>0</v>
      </c>
    </row>
    <row r="16" spans="2:10">
      <c r="B16">
        <f>(SUM(B5:B15))</f>
        <v>2.2514273600000005</v>
      </c>
      <c r="D16" s="38">
        <f>(SUM(D5:D15))</f>
        <v>-5.3974319099999999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7"/>
  <sheetViews>
    <sheetView workbookViewId="0">
      <selection activeCell="B19" sqref="B19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8.4142174341001889E-5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28.586451085356842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8">
        <f>(B5*C5)</f>
        <v>27.311796716829999</v>
      </c>
      <c r="N5" t="s">
        <v>1</v>
      </c>
      <c r="O5" t="s">
        <v>29</v>
      </c>
      <c r="P5" t="s">
        <v>2</v>
      </c>
      <c r="R5" s="29">
        <f t="shared" ref="R5:R12" si="0">(B5)</f>
        <v>0.2363634506</v>
      </c>
      <c r="S5" s="28">
        <v>115.55</v>
      </c>
      <c r="T5" s="38">
        <f>(R5*S5)</f>
        <v>27.311796716829999</v>
      </c>
    </row>
    <row r="6" spans="2:20">
      <c r="B6" s="29">
        <v>0.3</v>
      </c>
      <c r="C6" s="28">
        <v>91.3</v>
      </c>
      <c r="D6" s="38">
        <f>(B6*C6)</f>
        <v>27.389999999999997</v>
      </c>
      <c r="M6" t="s">
        <v>4</v>
      </c>
      <c r="N6" s="50">
        <f>(MIN(C5:C8,C14:C16)*2)</f>
        <v>5.0000000000000001E-4</v>
      </c>
      <c r="O6">
        <f>(INDEX(B5:B17,MATCH(N6/2,C5:C17,0)))</f>
        <v>40000</v>
      </c>
      <c r="P6" s="38">
        <f>(O6*N6/2)</f>
        <v>10</v>
      </c>
      <c r="R6" s="29">
        <f t="shared" si="0"/>
        <v>0.3</v>
      </c>
      <c r="S6" s="28">
        <v>91.3</v>
      </c>
      <c r="T6" s="38">
        <f>(R6*S6)</f>
        <v>27.389999999999997</v>
      </c>
    </row>
    <row r="7" spans="2:20">
      <c r="B7" s="29">
        <v>2.7904138700000001</v>
      </c>
      <c r="C7" s="28">
        <v>6.5</v>
      </c>
      <c r="D7" s="38">
        <f>(B7*C7)</f>
        <v>18.137690155000001</v>
      </c>
      <c r="R7" s="29">
        <f t="shared" si="0"/>
        <v>2.7904138700000001</v>
      </c>
      <c r="S7" s="28">
        <v>6.5</v>
      </c>
      <c r="T7" s="38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8">
        <v>15</v>
      </c>
      <c r="N8" t="s">
        <v>1</v>
      </c>
      <c r="O8" t="s">
        <v>29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8">
        <v>15</v>
      </c>
    </row>
    <row r="9" spans="2:20">
      <c r="B9" s="29">
        <f>(891400)</f>
        <v>891400</v>
      </c>
      <c r="C9" s="28">
        <f t="shared" si="1"/>
        <v>1.1218308279111509E-5</v>
      </c>
      <c r="D9" s="38">
        <v>10</v>
      </c>
      <c r="M9" t="s">
        <v>4</v>
      </c>
      <c r="N9" s="50">
        <f>(C35*1.1)</f>
        <v>1.7892756482769213E-4</v>
      </c>
      <c r="O9" s="21">
        <f>(B35/1.1)</f>
        <v>56447.423345454539</v>
      </c>
      <c r="P9" s="38">
        <f>(O9*N9)</f>
        <v>10.1</v>
      </c>
      <c r="R9" s="29">
        <f t="shared" si="0"/>
        <v>891400</v>
      </c>
      <c r="S9" s="28">
        <f t="shared" si="2"/>
        <v>1.1218308279111509E-5</v>
      </c>
      <c r="T9" s="38">
        <v>10</v>
      </c>
    </row>
    <row r="10" spans="2:20">
      <c r="B10" s="29">
        <v>-200000</v>
      </c>
      <c r="C10" s="28">
        <f t="shared" si="1"/>
        <v>6.0000000000000002E-5</v>
      </c>
      <c r="D10" s="38">
        <v>-12</v>
      </c>
      <c r="N10" s="28"/>
      <c r="R10" s="29">
        <f t="shared" si="0"/>
        <v>-200000</v>
      </c>
      <c r="S10" s="28">
        <f t="shared" si="2"/>
        <v>6.0000000000000002E-5</v>
      </c>
      <c r="T10" s="38">
        <v>-12</v>
      </c>
    </row>
    <row r="11" spans="2:20">
      <c r="B11" s="29">
        <v>-43873</v>
      </c>
      <c r="C11" s="28">
        <f t="shared" si="1"/>
        <v>2.2793061791990518E-4</v>
      </c>
      <c r="D11" s="38">
        <v>-10</v>
      </c>
      <c r="R11" s="29">
        <f t="shared" si="0"/>
        <v>-43873</v>
      </c>
      <c r="S11" s="28">
        <f t="shared" si="2"/>
        <v>2.2793061791990518E-4</v>
      </c>
      <c r="T11" s="38">
        <v>-10</v>
      </c>
    </row>
    <row r="12" spans="2:20">
      <c r="B12" s="29">
        <v>-20000</v>
      </c>
      <c r="C12" s="28">
        <f t="shared" si="1"/>
        <v>5.0000000000000001E-4</v>
      </c>
      <c r="D12" s="38">
        <v>-10</v>
      </c>
      <c r="R12" s="29">
        <f t="shared" si="0"/>
        <v>-20000</v>
      </c>
      <c r="S12" s="28">
        <f t="shared" si="2"/>
        <v>5.0000000000000001E-4</v>
      </c>
      <c r="T12" s="38">
        <v>-10</v>
      </c>
    </row>
    <row r="13" spans="2:20">
      <c r="B13" s="29">
        <v>-66800</v>
      </c>
      <c r="C13" s="28">
        <f t="shared" si="1"/>
        <v>5.0000000000000001E-4</v>
      </c>
      <c r="D13" s="38">
        <v>-33.4</v>
      </c>
      <c r="R13" s="29">
        <f>(B13+B14+B15+B16)</f>
        <v>43423</v>
      </c>
      <c r="S13" s="28">
        <f t="shared" si="2"/>
        <v>1.0594270317573637E-4</v>
      </c>
      <c r="T13" s="38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8">
        <v>10.000349999999999</v>
      </c>
      <c r="R14" s="29">
        <f t="shared" ref="R14:R20" si="3">(B17)</f>
        <v>-150000</v>
      </c>
      <c r="S14" s="28">
        <v>1E-4</v>
      </c>
      <c r="T14" s="38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8">
        <v>18</v>
      </c>
      <c r="R15" s="29">
        <f t="shared" si="3"/>
        <v>4585.1238578800003</v>
      </c>
      <c r="S15" s="28">
        <v>0</v>
      </c>
      <c r="T15" s="38">
        <f>(R15*S15)</f>
        <v>0</v>
      </c>
    </row>
    <row r="16" spans="2:20">
      <c r="B16" s="29">
        <v>40000</v>
      </c>
      <c r="C16" s="28">
        <f t="shared" si="1"/>
        <v>2.5000000000000001E-4</v>
      </c>
      <c r="D16" s="38">
        <v>10</v>
      </c>
      <c r="R16" s="29">
        <f t="shared" si="3"/>
        <v>-60293.19</v>
      </c>
      <c r="S16" s="28">
        <v>1.829E-4</v>
      </c>
      <c r="T16" s="38">
        <f>(S16*R16)</f>
        <v>-11.027624451000001</v>
      </c>
    </row>
    <row r="17" spans="2:20">
      <c r="B17" s="29">
        <v>-150000</v>
      </c>
      <c r="C17" s="28">
        <v>1E-4</v>
      </c>
      <c r="D17" s="38">
        <f>(C17*B17)</f>
        <v>-15</v>
      </c>
      <c r="R17" s="29">
        <f t="shared" si="3"/>
        <v>-41141.35</v>
      </c>
      <c r="S17" s="28">
        <v>1.828E-4</v>
      </c>
      <c r="T17" s="38">
        <f>(S17*R17)</f>
        <v>-7.5206387799999996</v>
      </c>
    </row>
    <row r="18" spans="2:20">
      <c r="B18" s="36">
        <v>4585.1238578800003</v>
      </c>
      <c r="C18" s="40">
        <v>0</v>
      </c>
      <c r="D18" s="26">
        <f>(B18*C18)</f>
        <v>0</v>
      </c>
      <c r="E18" s="38">
        <f>(B18*J3)</f>
        <v>0.38580229102482616</v>
      </c>
      <c r="R18" s="29">
        <f t="shared" si="3"/>
        <v>-26969.34</v>
      </c>
      <c r="S18" s="28">
        <f>(T18/R18)</f>
        <v>4.0323567428791359E-4</v>
      </c>
      <c r="T18" s="38">
        <v>-10.875</v>
      </c>
    </row>
    <row r="19" spans="2:20">
      <c r="B19" s="29">
        <v>-60293.19</v>
      </c>
      <c r="C19" s="28">
        <v>1.829E-4</v>
      </c>
      <c r="D19" s="38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8">
        <v>-15.776999999999999</v>
      </c>
    </row>
    <row r="20" spans="2:20">
      <c r="B20" s="29">
        <v>-41141.35</v>
      </c>
      <c r="C20" s="28">
        <v>1.828E-4</v>
      </c>
      <c r="D20" s="38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8">
        <v>-12.7</v>
      </c>
    </row>
    <row r="21" spans="2:20">
      <c r="B21" s="29">
        <v>-26969.34</v>
      </c>
      <c r="C21" s="28">
        <f>(D21/B21)</f>
        <v>4.0323567428791359E-4</v>
      </c>
      <c r="D21" s="38">
        <v>-10.875</v>
      </c>
      <c r="R21" s="29">
        <f>(B24+B25+B26)</f>
        <v>-55.650000000002365</v>
      </c>
      <c r="S21" s="28">
        <f>(T21/R21)</f>
        <v>1.4062807235038053E-2</v>
      </c>
      <c r="T21" s="38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8">
        <v>-15.776999999999999</v>
      </c>
      <c r="R22" s="29">
        <f>(B27+B28)</f>
        <v>0</v>
      </c>
      <c r="S22" s="28">
        <v>0</v>
      </c>
      <c r="T22" s="38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8">
        <v>-12.7</v>
      </c>
      <c r="R23" s="29">
        <f>(B29+B30)</f>
        <v>4000</v>
      </c>
      <c r="S23" s="28">
        <v>0</v>
      </c>
      <c r="T23" s="38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8">
        <v>-11.12</v>
      </c>
      <c r="R24" s="29">
        <f>(B31+B32)</f>
        <v>-1.8097233900334686</v>
      </c>
      <c r="S24" s="28">
        <v>0</v>
      </c>
      <c r="T24" s="38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8">
        <f>(B25*C25)</f>
        <v>7.8838527516038983</v>
      </c>
      <c r="R25" s="29">
        <f>(B33+B34+B35)</f>
        <v>8092.1656799999982</v>
      </c>
      <c r="S25" s="28">
        <v>0</v>
      </c>
      <c r="T25" s="38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8">
        <f>(B26*C26)</f>
        <v>2.4535520257662</v>
      </c>
    </row>
    <row r="27" spans="2:20">
      <c r="B27" s="29">
        <v>-40000</v>
      </c>
      <c r="C27" s="28">
        <f t="shared" ref="C27:C35" si="4">(D27/B27)</f>
        <v>3.1099999999999997E-4</v>
      </c>
      <c r="D27" s="38">
        <v>-12.44</v>
      </c>
    </row>
    <row r="28" spans="2:20">
      <c r="B28" s="29">
        <v>40000</v>
      </c>
      <c r="C28" s="28">
        <f t="shared" si="4"/>
        <v>2.5000000000000001E-4</v>
      </c>
      <c r="D28" s="38">
        <v>10</v>
      </c>
    </row>
    <row r="29" spans="2:20">
      <c r="B29" s="29">
        <v>-40000</v>
      </c>
      <c r="C29" s="28">
        <f t="shared" si="4"/>
        <v>3.0975000000000002E-4</v>
      </c>
      <c r="D29" s="38">
        <v>-12.39</v>
      </c>
    </row>
    <row r="30" spans="2:20">
      <c r="B30" s="29">
        <v>44000</v>
      </c>
      <c r="C30" s="28">
        <f t="shared" si="4"/>
        <v>2.3681818181818182E-4</v>
      </c>
      <c r="D30" s="38">
        <v>10.42</v>
      </c>
    </row>
    <row r="31" spans="2:20">
      <c r="B31" s="29">
        <v>-270017.67672339</v>
      </c>
      <c r="C31" s="28">
        <f t="shared" si="4"/>
        <v>1.7847844839198777E-4</v>
      </c>
      <c r="D31" s="38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8">
        <v>34.21</v>
      </c>
    </row>
    <row r="33" spans="2:20">
      <c r="B33" s="29">
        <v>-33998.230000000003</v>
      </c>
      <c r="C33" s="28">
        <f t="shared" si="4"/>
        <v>1.8971575873214574E-4</v>
      </c>
      <c r="D33" s="38">
        <v>-6.45</v>
      </c>
    </row>
    <row r="34" spans="2:20">
      <c r="B34" s="29">
        <v>-20001.77</v>
      </c>
      <c r="C34" s="28">
        <f t="shared" si="4"/>
        <v>1.897332086110379E-4</v>
      </c>
      <c r="D34" s="38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8">
        <v>10.1</v>
      </c>
      <c r="E35" s="38">
        <f>(B35*J3)</f>
        <v>5.2245698298569341</v>
      </c>
    </row>
    <row r="37" spans="2:20">
      <c r="B37">
        <f>(SUM(B5:B36))</f>
        <v>339739.86659181048</v>
      </c>
      <c r="D37" s="38">
        <f>(SUM(D5:D36))</f>
        <v>-21.780357561799917</v>
      </c>
      <c r="F37" t="s">
        <v>9</v>
      </c>
      <c r="G37" s="28">
        <f>(D37/B37)</f>
        <v>-6.4108924808546261E-5</v>
      </c>
      <c r="R37">
        <f>(SUM(R5:R36))</f>
        <v>339739.86659181048</v>
      </c>
      <c r="T37">
        <f>(SUM(T5:T36))</f>
        <v>-21.78035756179991</v>
      </c>
    </row>
  </sheetData>
  <conditionalFormatting sqref="C5:C9 C14:C16 C25:C26 C28 C30 C32 C35">
    <cfRule type="cellIs" dxfId="129" priority="13" operator="lessThan">
      <formula>$J$3</formula>
    </cfRule>
    <cfRule type="cellIs" dxfId="128" priority="14" operator="greaterThan">
      <formula>$J$3</formula>
    </cfRule>
  </conditionalFormatting>
  <conditionalFormatting sqref="N6">
    <cfRule type="cellIs" dxfId="127" priority="9" operator="lessThan">
      <formula>$J$3</formula>
    </cfRule>
    <cfRule type="cellIs" dxfId="126" priority="10" operator="greaterThan">
      <formula>$J$3</formula>
    </cfRule>
  </conditionalFormatting>
  <conditionalFormatting sqref="N9">
    <cfRule type="cellIs" dxfId="125" priority="5" operator="lessThan">
      <formula>$J$3</formula>
    </cfRule>
    <cfRule type="cellIs" dxfId="124" priority="6" operator="greaterThan">
      <formula>$J$3</formula>
    </cfRule>
  </conditionalFormatting>
  <conditionalFormatting sqref="S5:S9 S13">
    <cfRule type="cellIs" dxfId="123" priority="3" operator="lessThan">
      <formula>$J$3</formula>
    </cfRule>
    <cfRule type="cellIs" dxfId="122" priority="4" operator="greaterThan">
      <formula>$J$3</formula>
    </cfRule>
  </conditionalFormatting>
  <conditionalFormatting sqref="G37">
    <cfRule type="cellIs" dxfId="121" priority="1" operator="lessThan">
      <formula>$J$3</formula>
    </cfRule>
    <cfRule type="cellIs" dxfId="120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0.79263379349610918</v>
      </c>
      <c r="N3" s="19"/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(B18*J3)</f>
        <v>37.158643498196248</v>
      </c>
      <c r="K4" s="4">
        <f>(J4/D18-1)</f>
        <v>-0.12704150706010986</v>
      </c>
      <c r="O4" s="38"/>
      <c r="P4" s="38"/>
      <c r="R4" t="s">
        <v>5</v>
      </c>
      <c r="S4" t="s">
        <v>6</v>
      </c>
      <c r="T4" t="s">
        <v>7</v>
      </c>
    </row>
    <row r="5" spans="2:21">
      <c r="B5" s="19">
        <v>12.2</v>
      </c>
      <c r="C5" s="38">
        <f>(D5/B5)</f>
        <v>0.8606557377049181</v>
      </c>
      <c r="D5" s="38">
        <v>10.5</v>
      </c>
      <c r="M5" t="s">
        <v>15</v>
      </c>
      <c r="N5" t="s">
        <v>29</v>
      </c>
      <c r="O5" t="s">
        <v>1</v>
      </c>
      <c r="P5" t="s">
        <v>2</v>
      </c>
      <c r="R5" s="19">
        <f>B5</f>
        <v>12.2</v>
      </c>
      <c r="S5" s="38">
        <f>(T5/R5)</f>
        <v>0.8606557377049181</v>
      </c>
      <c r="T5" s="38">
        <f>D5</f>
        <v>10.5</v>
      </c>
    </row>
    <row r="6" spans="2:21">
      <c r="B6" s="36">
        <v>0.25978857999999999</v>
      </c>
      <c r="C6" s="40">
        <v>0</v>
      </c>
      <c r="D6" s="26">
        <f>(B6*C6)</f>
        <v>0</v>
      </c>
      <c r="E6" s="38">
        <f>(B6*J3)</f>
        <v>0.20591720767236743</v>
      </c>
      <c r="M6" t="s">
        <v>11</v>
      </c>
      <c r="N6" s="19">
        <f>($B$7+$R$9)/5</f>
        <v>6.6493392477777773</v>
      </c>
      <c r="O6" s="38">
        <f>($S$7*Params!K8)</f>
        <v>1.2874131947626481</v>
      </c>
      <c r="P6" s="38">
        <f>(O6*N6)</f>
        <v>8.5604470840422522</v>
      </c>
      <c r="R6" s="36">
        <f>(B6)</f>
        <v>0.25978857999999999</v>
      </c>
      <c r="S6" s="40">
        <v>0</v>
      </c>
      <c r="T6" s="26">
        <f>(D6)</f>
        <v>0</v>
      </c>
      <c r="U6" s="38">
        <f>(R6*J3)</f>
        <v>0.20591720767236743</v>
      </c>
    </row>
    <row r="7" spans="2:21">
      <c r="B7" s="19">
        <v>32.61579124</v>
      </c>
      <c r="C7" s="38">
        <f t="shared" ref="C7:C14" si="0">(D7/B7)</f>
        <v>0.99031784212511398</v>
      </c>
      <c r="D7" s="38">
        <v>32.299999999999997</v>
      </c>
      <c r="E7" t="s">
        <v>15</v>
      </c>
      <c r="N7" s="19">
        <f>($B$7+$R$9)/5</f>
        <v>6.6493392477777773</v>
      </c>
      <c r="O7" s="38">
        <f>($S$7*Params!K9)</f>
        <v>1.5845085474001825</v>
      </c>
      <c r="P7" s="38">
        <f>(O7*N7)</f>
        <v>10.535934872667388</v>
      </c>
      <c r="R7" s="19">
        <f>B7</f>
        <v>32.61579124</v>
      </c>
      <c r="S7" s="38">
        <f>(T7/R7)</f>
        <v>0.99031784212511398</v>
      </c>
      <c r="T7" s="38">
        <f>D7</f>
        <v>32.299999999999997</v>
      </c>
      <c r="U7" t="s">
        <v>15</v>
      </c>
    </row>
    <row r="8" spans="2:21">
      <c r="B8" s="19">
        <v>0.63003905000000004</v>
      </c>
      <c r="C8" s="38">
        <f t="shared" si="0"/>
        <v>0.79360160294826165</v>
      </c>
      <c r="D8" s="38">
        <v>0.5</v>
      </c>
      <c r="N8" s="19">
        <f>($B$7+$R$9)/5</f>
        <v>6.6493392477777773</v>
      </c>
      <c r="O8" s="38">
        <f>($S$7*Params!K10)</f>
        <v>2.1786992526752509</v>
      </c>
      <c r="P8" s="38">
        <f>(O8*N8)</f>
        <v>14.486910449917659</v>
      </c>
      <c r="R8" s="19">
        <f>B8</f>
        <v>0.63003905000000004</v>
      </c>
      <c r="S8" s="38">
        <f>C8</f>
        <v>0.79360160294826165</v>
      </c>
      <c r="T8" s="39">
        <f>D8</f>
        <v>0.5</v>
      </c>
    </row>
    <row r="9" spans="2:21">
      <c r="B9" s="19">
        <v>-1.08</v>
      </c>
      <c r="C9" s="38">
        <f t="shared" si="0"/>
        <v>1.0499999999999998</v>
      </c>
      <c r="D9" s="38">
        <v>-1.1339999999999999</v>
      </c>
      <c r="N9" s="19">
        <f>($B$7+$R$9)/5</f>
        <v>6.6493392477777773</v>
      </c>
      <c r="O9" s="38">
        <f>($C$7*Params!K11)</f>
        <v>3.9612713685004559</v>
      </c>
      <c r="P9" s="38">
        <f>(O9*N9)</f>
        <v>26.339837181668468</v>
      </c>
      <c r="R9" s="19">
        <f>SUM(B9,B12,B13,B16)</f>
        <v>0.63090499888888907</v>
      </c>
      <c r="S9" s="38">
        <v>0</v>
      </c>
      <c r="T9" s="38">
        <f>SUM(D9,D12,D13,D16)</f>
        <v>-0.16714507569935888</v>
      </c>
    </row>
    <row r="10" spans="2:21">
      <c r="B10" s="19">
        <v>-2.44</v>
      </c>
      <c r="C10" s="38">
        <f t="shared" si="0"/>
        <v>1.0837143524590165</v>
      </c>
      <c r="D10" s="38">
        <v>-2.6442630199999999</v>
      </c>
      <c r="O10" s="38"/>
      <c r="P10" s="38"/>
      <c r="R10" s="19">
        <f>SUM(B10,B11,B14,B15,)</f>
        <v>0.54343987111111103</v>
      </c>
      <c r="S10" s="38">
        <v>0</v>
      </c>
      <c r="T10" s="38">
        <f>SUM(D10,D11,D14,D15)</f>
        <v>-0.56652009999999953</v>
      </c>
    </row>
    <row r="11" spans="2:21">
      <c r="B11" s="19">
        <v>-2.44</v>
      </c>
      <c r="C11" s="38">
        <f t="shared" si="0"/>
        <v>1.306959131147541</v>
      </c>
      <c r="D11" s="38">
        <v>-3.18898028</v>
      </c>
      <c r="O11" s="38"/>
      <c r="P11" s="38">
        <f>(SUM(P6:P9))</f>
        <v>59.923129588295765</v>
      </c>
      <c r="R11" s="19"/>
      <c r="S11" s="38"/>
      <c r="T11" s="38"/>
    </row>
    <row r="12" spans="2:21">
      <c r="B12" s="19">
        <v>-2.72</v>
      </c>
      <c r="C12" s="38">
        <f t="shared" si="0"/>
        <v>1.4766262647058821</v>
      </c>
      <c r="D12" s="38">
        <v>-4.0164234399999996</v>
      </c>
      <c r="O12" s="38"/>
      <c r="P12" s="38"/>
      <c r="S12" s="38"/>
      <c r="T12" s="38"/>
    </row>
    <row r="13" spans="2:21">
      <c r="B13" s="19">
        <v>3.0223285400000002</v>
      </c>
      <c r="C13" s="38">
        <f t="shared" si="0"/>
        <v>1.2540000035866385</v>
      </c>
      <c r="D13" s="38">
        <v>3.79</v>
      </c>
      <c r="N13" t="s">
        <v>29</v>
      </c>
      <c r="O13" t="s">
        <v>1</v>
      </c>
      <c r="P13" t="s">
        <v>2</v>
      </c>
      <c r="S13" s="38"/>
      <c r="T13" s="38"/>
    </row>
    <row r="14" spans="2:21">
      <c r="B14" s="19">
        <v>2.7123287600000001</v>
      </c>
      <c r="C14" s="38">
        <f t="shared" si="0"/>
        <v>1.0950000028757576</v>
      </c>
      <c r="D14" s="38">
        <v>2.97</v>
      </c>
      <c r="M14" t="s">
        <v>11</v>
      </c>
      <c r="N14" s="19">
        <f>($B$5+$R$10)/5</f>
        <v>2.5486879742222222</v>
      </c>
      <c r="O14" s="38">
        <f>($C$5*Params!K8)</f>
        <v>1.1188524590163935</v>
      </c>
      <c r="P14" s="38">
        <f>(O14*N14)</f>
        <v>2.8516058072240438</v>
      </c>
      <c r="S14" s="38"/>
      <c r="T14" s="38"/>
    </row>
    <row r="15" spans="2:21">
      <c r="B15" s="19">
        <f>2.44/0.9</f>
        <v>2.7111111111111108</v>
      </c>
      <c r="C15" s="38">
        <v>0.84715200000000002</v>
      </c>
      <c r="D15" s="38">
        <f>B15*C15</f>
        <v>2.2967231999999997</v>
      </c>
      <c r="N15" s="19">
        <f>($B$5+$R$10)/5</f>
        <v>2.5486879742222222</v>
      </c>
      <c r="O15" s="38">
        <f>($C$5*Params!K9)</f>
        <v>1.377049180327869</v>
      </c>
      <c r="P15" s="38">
        <f>(O15*N15)</f>
        <v>3.5096686858142081</v>
      </c>
      <c r="S15" s="38"/>
      <c r="T15" s="38"/>
    </row>
    <row r="16" spans="2:21">
      <c r="B16" s="19">
        <f>4.11968757-B15</f>
        <v>1.4085764588888892</v>
      </c>
      <c r="C16" s="38">
        <v>0.84715200000000002</v>
      </c>
      <c r="D16" s="38">
        <f>B16*C16</f>
        <v>1.1932783643006402</v>
      </c>
      <c r="N16" s="19">
        <f>($B$5+$R$10)/5</f>
        <v>2.5486879742222222</v>
      </c>
      <c r="O16" s="38">
        <f>($C$5*Params!K10)</f>
        <v>1.8934426229508199</v>
      </c>
      <c r="P16" s="38">
        <f>(O16*N16)</f>
        <v>4.8257944429945363</v>
      </c>
      <c r="S16" s="38"/>
      <c r="T16" s="38"/>
    </row>
    <row r="17" spans="2:20">
      <c r="B17" s="19"/>
      <c r="F17" t="s">
        <v>9</v>
      </c>
      <c r="G17" s="38">
        <f>(D18/B18)</f>
        <v>0.90798566015061166</v>
      </c>
      <c r="N17" s="19">
        <f>($B$5+$R$10)/5</f>
        <v>2.5486879742222222</v>
      </c>
      <c r="O17" s="38">
        <f>($C$5*Params!K11)</f>
        <v>3.4426229508196724</v>
      </c>
      <c r="P17" s="38">
        <f>(O17*N17)</f>
        <v>8.7741717145355196</v>
      </c>
      <c r="R17">
        <f>(SUM(R5:R12))</f>
        <v>46.879963740000001</v>
      </c>
      <c r="S17" s="38"/>
      <c r="T17" s="38">
        <f>(SUM(T5:T12))</f>
        <v>42.56633482430064</v>
      </c>
    </row>
    <row r="18" spans="2:20">
      <c r="B18" s="19">
        <f>(SUM(B5:B17))</f>
        <v>46.879963740000001</v>
      </c>
      <c r="D18" s="38">
        <f>(SUM(D5:D17))</f>
        <v>42.56633482430064</v>
      </c>
      <c r="O18" s="38"/>
      <c r="P18" s="38"/>
    </row>
    <row r="19" spans="2:20">
      <c r="O19" s="38"/>
      <c r="P19" s="38"/>
    </row>
    <row r="20" spans="2:20">
      <c r="O20" s="38"/>
      <c r="P20" s="38">
        <f>(SUM(P14:P17))</f>
        <v>19.961240650568307</v>
      </c>
    </row>
    <row r="27" spans="2:20">
      <c r="H27" s="39"/>
    </row>
  </sheetData>
  <conditionalFormatting sqref="C5 C7:C8 C13:C16 O6:O9 O14:O17 S5 S7">
    <cfRule type="cellIs" dxfId="119" priority="23" operator="lessThan">
      <formula>$J$3</formula>
    </cfRule>
    <cfRule type="cellIs" dxfId="118" priority="24" operator="greaterThan">
      <formula>$J$3</formula>
    </cfRule>
  </conditionalFormatting>
  <conditionalFormatting sqref="S8">
    <cfRule type="cellIs" dxfId="117" priority="1" operator="lessThan">
      <formula>$J$3</formula>
    </cfRule>
    <cfRule type="cellIs" dxfId="116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D5" sqref="D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0.47920787299348688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25.943652850745231</v>
      </c>
      <c r="K4" s="4">
        <f>(J4/D10-1)</f>
        <v>-0.34469176936738499</v>
      </c>
    </row>
    <row r="5" spans="2:16">
      <c r="B5" s="29">
        <v>52.247700000000002</v>
      </c>
      <c r="C5" s="38">
        <f>(D5/B5)</f>
        <v>0.7577367041994193</v>
      </c>
      <c r="D5" s="38">
        <v>39.590000000000003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36">
        <v>1.8896349800000001</v>
      </c>
      <c r="C6" s="40">
        <v>0</v>
      </c>
      <c r="D6" s="26">
        <f>(B6*C6)</f>
        <v>0</v>
      </c>
      <c r="E6" s="38">
        <f>(B6*J3)</f>
        <v>0.90552795949989018</v>
      </c>
      <c r="M6" t="s">
        <v>11</v>
      </c>
      <c r="N6" s="29">
        <f>($B$10/5)</f>
        <v>10.827723963999999</v>
      </c>
      <c r="O6" s="38">
        <f>($C$5*Params!K8)</f>
        <v>0.98505771545924514</v>
      </c>
      <c r="P6" s="38">
        <f>(O6*N6)</f>
        <v>10.66593303160116</v>
      </c>
    </row>
    <row r="7" spans="2:16">
      <c r="B7" s="36">
        <v>1.28484E-3</v>
      </c>
      <c r="C7" s="40">
        <v>0</v>
      </c>
      <c r="D7" s="26">
        <f>(B7*C7)</f>
        <v>0</v>
      </c>
      <c r="E7" s="38">
        <f>(B7*J4)</f>
        <v>3.3333442928751504E-2</v>
      </c>
      <c r="N7" s="29">
        <f>($B$10/5)</f>
        <v>10.827723963999999</v>
      </c>
      <c r="O7" s="38">
        <f>($C$5*Params!K9)</f>
        <v>1.2123787267190709</v>
      </c>
      <c r="P7" s="38">
        <f>(O7*N7)</f>
        <v>13.12730219273989</v>
      </c>
    </row>
    <row r="8" spans="2:16">
      <c r="N8" s="29">
        <f>($B$10/5)</f>
        <v>10.827723963999999</v>
      </c>
      <c r="O8" s="38">
        <f>($C$5*Params!K10)</f>
        <v>1.6670207492387226</v>
      </c>
      <c r="P8" s="38">
        <f>(O8*N8)</f>
        <v>18.050040515017351</v>
      </c>
    </row>
    <row r="9" spans="2:16">
      <c r="F9" t="s">
        <v>9</v>
      </c>
      <c r="G9" s="38">
        <f>(D10/B10)</f>
        <v>0.73127095097046768</v>
      </c>
      <c r="N9" s="29">
        <f>($B$10/5)</f>
        <v>10.827723963999999</v>
      </c>
      <c r="O9" s="38">
        <f>($C$5*Params!K11)</f>
        <v>3.0309468167976772</v>
      </c>
      <c r="P9" s="38">
        <f>(O9*N9)</f>
        <v>32.818255481849725</v>
      </c>
    </row>
    <row r="10" spans="2:16">
      <c r="B10" s="29">
        <f>(SUM(B5:B9))</f>
        <v>54.138619819999995</v>
      </c>
      <c r="D10" s="38">
        <f>(SUM(D5:D9))</f>
        <v>39.590000000000003</v>
      </c>
    </row>
    <row r="11" spans="2:16">
      <c r="P11" s="38">
        <f>(SUM(P6:P9))</f>
        <v>74.661531221208122</v>
      </c>
    </row>
  </sheetData>
  <conditionalFormatting sqref="C5">
    <cfRule type="cellIs" dxfId="115" priority="5" operator="lessThan">
      <formula>$J$3</formula>
    </cfRule>
    <cfRule type="cellIs" dxfId="114" priority="6" operator="greaterThan">
      <formula>$J$3</formula>
    </cfRule>
  </conditionalFormatting>
  <conditionalFormatting sqref="O6:O9">
    <cfRule type="cellIs" dxfId="113" priority="3" operator="lessThan">
      <formula>$J$3</formula>
    </cfRule>
    <cfRule type="cellIs" dxfId="112" priority="4" operator="greaterThan">
      <formula>$J$3</formula>
    </cfRule>
  </conditionalFormatting>
  <conditionalFormatting sqref="G9">
    <cfRule type="cellIs" dxfId="111" priority="1" operator="lessThan">
      <formula>$J$3</formula>
    </cfRule>
    <cfRule type="cellIs" dxfId="110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V22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2">
      <c r="I3" t="s">
        <v>3</v>
      </c>
      <c r="J3" s="38">
        <v>1.4702529816391809</v>
      </c>
      <c r="N3" s="1"/>
      <c r="O3" s="54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(B19*J3)</f>
        <v>28.683065062838246</v>
      </c>
      <c r="K4" s="4">
        <f>(J4/D19-1)</f>
        <v>-0.1804621757621836</v>
      </c>
      <c r="O4" s="38"/>
      <c r="P4" s="38"/>
      <c r="R4" t="s">
        <v>5</v>
      </c>
      <c r="S4" t="s">
        <v>6</v>
      </c>
      <c r="T4" t="s">
        <v>7</v>
      </c>
    </row>
    <row r="5" spans="2:22">
      <c r="B5" s="1">
        <v>1.79</v>
      </c>
      <c r="C5" s="38">
        <f>(D5/B5)</f>
        <v>1.6759776536312849</v>
      </c>
      <c r="D5" s="38">
        <v>3</v>
      </c>
      <c r="E5" t="s">
        <v>82</v>
      </c>
      <c r="M5" t="s">
        <v>82</v>
      </c>
      <c r="N5" t="s">
        <v>29</v>
      </c>
      <c r="O5" t="s">
        <v>1</v>
      </c>
      <c r="P5" t="s">
        <v>2</v>
      </c>
      <c r="R5" s="1">
        <f>(B5)</f>
        <v>1.79</v>
      </c>
      <c r="S5" s="38">
        <f>(T5/R5)</f>
        <v>1.6759776536312849</v>
      </c>
      <c r="T5" s="38">
        <f>(D5)</f>
        <v>3</v>
      </c>
    </row>
    <row r="6" spans="2:22">
      <c r="B6" s="1">
        <v>17.40659071</v>
      </c>
      <c r="C6" s="38">
        <f>(D6/B6)</f>
        <v>1.8556189743373357</v>
      </c>
      <c r="D6" s="38">
        <v>32.299999999999997</v>
      </c>
      <c r="E6" t="s">
        <v>15</v>
      </c>
      <c r="M6" t="s">
        <v>11</v>
      </c>
      <c r="N6" s="1">
        <f>(($B$5+$R$9)/5)</f>
        <v>0.38226118247719681</v>
      </c>
      <c r="O6" s="38">
        <f>($C$5*Params!K8)</f>
        <v>2.1787709497206706</v>
      </c>
      <c r="P6" s="38">
        <f>(O6*N6)</f>
        <v>0.83285955958718871</v>
      </c>
      <c r="R6" s="1">
        <f>B6</f>
        <v>17.40659071</v>
      </c>
      <c r="S6" s="38">
        <f>(T6/R6)</f>
        <v>1.8556189743373357</v>
      </c>
      <c r="T6" s="38">
        <f>D6</f>
        <v>32.299999999999997</v>
      </c>
      <c r="U6" s="38" t="str">
        <f>(E6)</f>
        <v>DCA2</v>
      </c>
    </row>
    <row r="7" spans="2:22">
      <c r="B7" s="2">
        <v>5.5219850000000001E-2</v>
      </c>
      <c r="C7" s="40">
        <v>0</v>
      </c>
      <c r="D7" s="26">
        <v>0</v>
      </c>
      <c r="E7" s="39">
        <f>B7*J3</f>
        <v>8.1187149108168322E-2</v>
      </c>
      <c r="N7" s="1">
        <f>(($B$5+$R$9)/5)</f>
        <v>0.38226118247719681</v>
      </c>
      <c r="O7" s="38">
        <f>($C$5*Params!K9)</f>
        <v>2.6815642458100561</v>
      </c>
      <c r="P7" s="38">
        <f>(O7*N7)</f>
        <v>1.0250579194919245</v>
      </c>
      <c r="R7" s="2">
        <f>(B7)</f>
        <v>5.5219850000000001E-2</v>
      </c>
      <c r="S7" s="40">
        <v>0</v>
      </c>
      <c r="T7" s="26">
        <f>(D7)</f>
        <v>0</v>
      </c>
    </row>
    <row r="8" spans="2:22">
      <c r="B8" s="1">
        <v>-0.6</v>
      </c>
      <c r="C8" s="38">
        <f t="shared" ref="C8:C17" si="0">(D8/B8)</f>
        <v>1.9313681166666667</v>
      </c>
      <c r="D8" s="38">
        <v>-1.15882087</v>
      </c>
      <c r="N8" s="1">
        <f>(($B$5+$R$9)/5)</f>
        <v>0.38226118247719681</v>
      </c>
      <c r="O8" s="38">
        <f>($C$5*Params!K10)</f>
        <v>3.6871508379888271</v>
      </c>
      <c r="P8" s="38">
        <f>(O8*N8)</f>
        <v>1.4094546393013963</v>
      </c>
      <c r="R8" s="1">
        <f>(B10+B13+B8+B17)</f>
        <v>0.13581527000000004</v>
      </c>
      <c r="S8" s="38">
        <v>0</v>
      </c>
      <c r="T8" s="38">
        <f>(D10+D13+D8+D17)</f>
        <v>-0.13482086999999998</v>
      </c>
      <c r="U8" t="s">
        <v>15</v>
      </c>
      <c r="V8" s="39">
        <f>-T8+R8*$J$3</f>
        <v>0.33450367566963046</v>
      </c>
    </row>
    <row r="9" spans="2:22">
      <c r="B9" s="1">
        <v>-0.35799999999999998</v>
      </c>
      <c r="C9" s="38">
        <f t="shared" si="0"/>
        <v>2.1201117318435756</v>
      </c>
      <c r="D9" s="38">
        <f>(-0.764+0.005)</f>
        <v>-0.75900000000000001</v>
      </c>
      <c r="N9" s="1">
        <f>(($B$5+$R$9)/5)</f>
        <v>0.38226118247719681</v>
      </c>
      <c r="O9" s="38">
        <f>($C$5*Params!K11)</f>
        <v>6.7039106145251397</v>
      </c>
      <c r="P9" s="38">
        <f>(O9*N9)</f>
        <v>2.5626447987298109</v>
      </c>
      <c r="R9" s="1">
        <f>(B12+B11+B9+B14+B15+B16)</f>
        <v>0.12130591238598404</v>
      </c>
      <c r="S9" s="38">
        <v>0</v>
      </c>
      <c r="T9" s="38">
        <f>(D12+D11+D9+D14)+D15+D16</f>
        <v>-0.16610499999999995</v>
      </c>
      <c r="U9" t="s">
        <v>82</v>
      </c>
      <c r="V9" s="39">
        <f>-T9+R9*$J$3</f>
        <v>0.34445537937595422</v>
      </c>
    </row>
    <row r="10" spans="2:22">
      <c r="B10" s="1">
        <v>-0.6</v>
      </c>
      <c r="C10" s="38">
        <f t="shared" si="0"/>
        <v>2.2549999999999999</v>
      </c>
      <c r="D10" s="38">
        <v>-1.353</v>
      </c>
      <c r="N10" s="1"/>
      <c r="O10" s="38"/>
      <c r="P10" s="38"/>
      <c r="R10" s="1"/>
      <c r="S10" s="38"/>
      <c r="T10" s="38"/>
    </row>
    <row r="11" spans="2:22">
      <c r="B11" s="1">
        <v>-0.35742035742035699</v>
      </c>
      <c r="C11" s="38">
        <f t="shared" si="0"/>
        <v>2.5063737456521769</v>
      </c>
      <c r="D11" s="38">
        <v>-0.89582899999999999</v>
      </c>
      <c r="N11" s="1"/>
      <c r="O11" s="38"/>
      <c r="P11" s="38">
        <f>(SUM(P6:P9))</f>
        <v>5.8300169171103207</v>
      </c>
    </row>
    <row r="12" spans="2:22">
      <c r="B12" s="1">
        <v>0.38853337131153298</v>
      </c>
      <c r="C12" s="38">
        <f t="shared" si="0"/>
        <v>2.1872767251145362</v>
      </c>
      <c r="D12" s="38">
        <v>0.84982999999999997</v>
      </c>
      <c r="N12" s="1"/>
      <c r="O12" s="38"/>
      <c r="P12" s="38"/>
      <c r="S12" s="38"/>
      <c r="T12" s="38"/>
    </row>
    <row r="13" spans="2:22">
      <c r="B13" s="1">
        <v>0.66773927</v>
      </c>
      <c r="C13" s="38">
        <f t="shared" si="0"/>
        <v>1.9124230929236794</v>
      </c>
      <c r="D13" s="38">
        <v>1.2769999999999999</v>
      </c>
      <c r="M13" t="s">
        <v>15</v>
      </c>
      <c r="N13" t="s">
        <v>29</v>
      </c>
      <c r="O13" t="s">
        <v>1</v>
      </c>
      <c r="P13" t="s">
        <v>2</v>
      </c>
      <c r="S13" s="38"/>
      <c r="T13" s="38"/>
    </row>
    <row r="14" spans="2:22">
      <c r="B14" s="1">
        <v>0.39380211586237701</v>
      </c>
      <c r="C14" s="38">
        <f t="shared" si="0"/>
        <v>1.7677837978993687</v>
      </c>
      <c r="D14" s="38">
        <v>0.69615700000000003</v>
      </c>
      <c r="M14" t="s">
        <v>11</v>
      </c>
      <c r="N14" s="1">
        <f>(($B$6+$R$8)/5)</f>
        <v>3.5084811959999995</v>
      </c>
      <c r="O14" s="38">
        <f>($C$6*Params!K8)</f>
        <v>2.4123046666385366</v>
      </c>
      <c r="P14" s="38">
        <f>(O14*N14)</f>
        <v>8.463525561924353</v>
      </c>
      <c r="S14" s="38"/>
      <c r="T14" s="38"/>
    </row>
    <row r="15" spans="2:22">
      <c r="B15" s="1">
        <v>-0.36489607390300199</v>
      </c>
      <c r="C15" s="38">
        <f t="shared" si="0"/>
        <v>2.1019875379746855</v>
      </c>
      <c r="D15" s="38">
        <v>-0.76700699999999999</v>
      </c>
      <c r="N15" s="1">
        <f>(($B$6+$R$8)/5)</f>
        <v>3.5084811959999995</v>
      </c>
      <c r="O15" s="38">
        <f>($C$6*Params!K9)</f>
        <v>2.9689903589397373</v>
      </c>
      <c r="P15" s="38">
        <f>(O15*N15)</f>
        <v>10.416646845445356</v>
      </c>
      <c r="S15" s="38"/>
      <c r="T15" s="38"/>
    </row>
    <row r="16" spans="2:22">
      <c r="B16" s="1">
        <v>0.41928685653543302</v>
      </c>
      <c r="C16" s="38">
        <f t="shared" si="0"/>
        <v>1.6927408740274241</v>
      </c>
      <c r="D16" s="38">
        <v>0.70974400000000004</v>
      </c>
      <c r="N16" s="1">
        <f>(($B$6+$R$8)/5)</f>
        <v>3.5084811959999995</v>
      </c>
      <c r="O16" s="38">
        <f>($C$6*Params!K10)</f>
        <v>4.0823617435421387</v>
      </c>
      <c r="P16" s="38">
        <f>(O16*N16)</f>
        <v>14.322889412487365</v>
      </c>
      <c r="S16" s="38"/>
      <c r="T16" s="38"/>
    </row>
    <row r="17" spans="2:20">
      <c r="B17" s="1">
        <v>0.668076</v>
      </c>
      <c r="C17" s="38">
        <f t="shared" si="0"/>
        <v>1.6465192582879793</v>
      </c>
      <c r="D17" s="38">
        <v>1.1000000000000001</v>
      </c>
      <c r="N17" s="1">
        <f>(($B$6+$R$8)/5)</f>
        <v>3.5084811959999995</v>
      </c>
      <c r="O17" s="38">
        <f>($C$6*Params!K11)</f>
        <v>7.4224758973493428</v>
      </c>
      <c r="P17" s="38">
        <f>(O17*N17)</f>
        <v>26.041617113613391</v>
      </c>
      <c r="S17" s="38"/>
      <c r="T17" s="38"/>
    </row>
    <row r="18" spans="2:20">
      <c r="C18" s="38"/>
      <c r="D18" s="38"/>
      <c r="F18" t="s">
        <v>9</v>
      </c>
      <c r="G18" s="38">
        <f>(D19/B19)</f>
        <v>1.7940025928718302</v>
      </c>
      <c r="O18" s="38"/>
      <c r="P18" s="38"/>
      <c r="S18" s="38"/>
      <c r="T18" s="38"/>
    </row>
    <row r="19" spans="2:20">
      <c r="B19" s="1">
        <f>(SUM(B5:B18))</f>
        <v>19.508931742385979</v>
      </c>
      <c r="C19" s="38"/>
      <c r="D19" s="38">
        <f>(SUM(D5:D18))</f>
        <v>34.999074129999997</v>
      </c>
      <c r="O19" s="38"/>
      <c r="P19" s="38">
        <f>(SUM(P14:P17))</f>
        <v>59.244678933470468</v>
      </c>
      <c r="S19" s="38"/>
      <c r="T19" s="38"/>
    </row>
    <row r="20" spans="2:20">
      <c r="S20" s="38"/>
      <c r="T20" s="38"/>
    </row>
    <row r="21" spans="2:20">
      <c r="S21" s="38"/>
      <c r="T21" s="38"/>
    </row>
    <row r="22" spans="2:20">
      <c r="R22" s="1">
        <f>(SUM(R5:R21))</f>
        <v>19.508931742385982</v>
      </c>
      <c r="S22" s="38"/>
      <c r="T22" s="38">
        <f>(SUM(T5:T21))</f>
        <v>34.999074129999997</v>
      </c>
    </row>
  </sheetData>
  <conditionalFormatting sqref="C5:C6 C12:C14 C16:C17 O6:O9 O14:O17 S5:S6">
    <cfRule type="cellIs" dxfId="109" priority="17" operator="lessThan">
      <formula>$J$3</formula>
    </cfRule>
    <cfRule type="cellIs" dxfId="108" priority="18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5">
        <v>7.8078272692210508E-6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3.4333722695696469</v>
      </c>
      <c r="K4" s="4">
        <f>(J4/D13-1)</f>
        <v>-0.31742101996627303</v>
      </c>
    </row>
    <row r="5" spans="2:16">
      <c r="B5" s="22">
        <v>439531.68</v>
      </c>
      <c r="C5" s="55">
        <f>(D5/B5)</f>
        <v>1.1443998757950737E-5</v>
      </c>
      <c r="D5" s="38">
        <v>5.03</v>
      </c>
      <c r="E5" s="38"/>
      <c r="F5" s="38"/>
      <c r="G5" s="38"/>
      <c r="N5" t="s">
        <v>29</v>
      </c>
      <c r="O5" t="s">
        <v>1</v>
      </c>
      <c r="P5" t="s">
        <v>2</v>
      </c>
    </row>
    <row r="6" spans="2:16">
      <c r="B6" s="36">
        <v>202.98</v>
      </c>
      <c r="C6" s="40">
        <v>0</v>
      </c>
      <c r="D6" s="26">
        <f>(B6*C6)</f>
        <v>0</v>
      </c>
      <c r="E6" s="38">
        <f>(B6*J3)</f>
        <v>1.5848327791064887E-3</v>
      </c>
      <c r="F6" s="38"/>
      <c r="G6" s="38"/>
      <c r="M6" t="s">
        <v>11</v>
      </c>
      <c r="N6" s="22">
        <f>($B$5/5)</f>
        <v>87906.335999999996</v>
      </c>
      <c r="O6" s="28">
        <f>($C$5*Params!K8)</f>
        <v>1.4877198385335959E-5</v>
      </c>
      <c r="P6" s="38">
        <f>(O6*N6)</f>
        <v>1.3078000000000003</v>
      </c>
    </row>
    <row r="7" spans="2:16">
      <c r="C7" s="38"/>
      <c r="D7" s="38"/>
      <c r="E7" s="38"/>
      <c r="F7" s="38"/>
      <c r="G7" s="38"/>
      <c r="N7" s="22">
        <f>($B$5/5)</f>
        <v>87906.335999999996</v>
      </c>
      <c r="O7" s="28">
        <f>($C$5*Params!K9)</f>
        <v>1.8310398012721179E-5</v>
      </c>
      <c r="P7" s="38">
        <f>(O7*N7)</f>
        <v>1.6096000000000001</v>
      </c>
    </row>
    <row r="8" spans="2:16">
      <c r="C8" s="38"/>
      <c r="D8" s="38"/>
      <c r="E8" s="38"/>
      <c r="F8" s="38"/>
      <c r="G8" s="38"/>
      <c r="N8" s="22">
        <f>($B$5/5)</f>
        <v>87906.335999999996</v>
      </c>
      <c r="O8" s="28">
        <f>($C$5*Params!K10)</f>
        <v>2.5176797267491623E-5</v>
      </c>
      <c r="P8" s="38">
        <f>(O8*N8)</f>
        <v>2.2132000000000005</v>
      </c>
    </row>
    <row r="9" spans="2:16">
      <c r="C9" s="38"/>
      <c r="D9" s="38"/>
      <c r="E9" s="38"/>
      <c r="F9" s="38"/>
      <c r="G9" s="38"/>
      <c r="N9" s="22">
        <f>($B$5/5)</f>
        <v>87906.335999999996</v>
      </c>
      <c r="O9" s="28">
        <f>($C$5*Params!K11)</f>
        <v>4.5775995031802946E-5</v>
      </c>
      <c r="P9" s="38">
        <f>(O9*N9)</f>
        <v>4.024</v>
      </c>
    </row>
    <row r="10" spans="2:16">
      <c r="C10" s="38"/>
      <c r="D10" s="38"/>
      <c r="E10" s="38"/>
      <c r="F10" s="38"/>
      <c r="G10" s="38"/>
      <c r="O10" s="38"/>
      <c r="P10" s="38"/>
    </row>
    <row r="11" spans="2:16">
      <c r="C11" s="38"/>
      <c r="D11" s="38"/>
      <c r="E11" s="38"/>
      <c r="F11" s="38"/>
      <c r="G11" s="38"/>
      <c r="O11" s="38"/>
      <c r="P11" s="38">
        <f>(SUM(P6:P9))</f>
        <v>9.1546000000000021</v>
      </c>
    </row>
    <row r="12" spans="2:16">
      <c r="C12" s="38"/>
      <c r="D12" s="38"/>
      <c r="E12" s="38"/>
      <c r="F12" s="38" t="s">
        <v>9</v>
      </c>
      <c r="G12" s="38">
        <f>(D13/B13)</f>
        <v>1.1438716247657168E-5</v>
      </c>
    </row>
    <row r="13" spans="2:16">
      <c r="B13">
        <f>(SUM(B5:B12))</f>
        <v>439734.66</v>
      </c>
      <c r="C13" s="38"/>
      <c r="D13" s="38">
        <f>(SUM(D5:D12))</f>
        <v>5.03</v>
      </c>
      <c r="E13" s="38"/>
      <c r="F13" s="38"/>
      <c r="G13" s="38"/>
    </row>
  </sheetData>
  <conditionalFormatting sqref="C5">
    <cfRule type="cellIs" dxfId="107" priority="5" operator="lessThan">
      <formula>$J$3</formula>
    </cfRule>
    <cfRule type="cellIs" dxfId="106" priority="6" operator="greaterThan">
      <formula>$J$3</formula>
    </cfRule>
  </conditionalFormatting>
  <conditionalFormatting sqref="J3">
    <cfRule type="cellIs" dxfId="105" priority="3" operator="lessThan">
      <formula>$J$3</formula>
    </cfRule>
    <cfRule type="cellIs" dxfId="104" priority="4" operator="greaterThan">
      <formula>$J$3</formula>
    </cfRule>
  </conditionalFormatting>
  <conditionalFormatting sqref="O6:O9">
    <cfRule type="cellIs" dxfId="103" priority="1" operator="lessThan">
      <formula>$J$3</formula>
    </cfRule>
    <cfRule type="cellIs" dxfId="102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W39"/>
  <sheetViews>
    <sheetView workbookViewId="0">
      <selection activeCell="J4" sqref="J4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26.14</v>
      </c>
      <c r="M3" t="s">
        <v>4</v>
      </c>
      <c r="N3" s="24">
        <f>(INDEX(N5:N26,MATCH(MAX(O6:O8,O23,O14),O5:O26,0))/0.9)</f>
        <v>0.11111111111111112</v>
      </c>
      <c r="O3" s="39">
        <f>(MAX(O14,O23,O6:O8)*0.85)</f>
        <v>24.200281999999998</v>
      </c>
      <c r="P3" s="38">
        <f>(O3*N3)</f>
        <v>2.6889202222222224</v>
      </c>
    </row>
    <row r="4" spans="2:21">
      <c r="B4" t="s">
        <v>5</v>
      </c>
      <c r="C4" t="s">
        <v>6</v>
      </c>
      <c r="D4" t="s">
        <v>7</v>
      </c>
      <c r="E4" t="s">
        <v>35</v>
      </c>
      <c r="I4" t="s">
        <v>8</v>
      </c>
      <c r="J4" s="38">
        <f>(B35*J3)</f>
        <v>196.72335100354002</v>
      </c>
      <c r="K4" s="4">
        <f>(J4/D35-1)</f>
        <v>9.8846981078406504E-3</v>
      </c>
      <c r="O4" s="38"/>
      <c r="P4" s="38"/>
      <c r="R4" t="s">
        <v>5</v>
      </c>
      <c r="S4" t="s">
        <v>6</v>
      </c>
      <c r="T4" t="s">
        <v>7</v>
      </c>
    </row>
    <row r="5" spans="2:21">
      <c r="B5" s="24">
        <f>(0.108955+8*0.0233458)</f>
        <v>0.29572140000000002</v>
      </c>
      <c r="C5" s="38">
        <v>196</v>
      </c>
      <c r="D5" s="38">
        <f>(B5*C5)</f>
        <v>57.961394400000003</v>
      </c>
      <c r="E5" s="38"/>
      <c r="N5" t="s">
        <v>29</v>
      </c>
      <c r="O5" t="s">
        <v>1</v>
      </c>
      <c r="P5" t="s">
        <v>2</v>
      </c>
      <c r="R5" s="24">
        <f>(B5)</f>
        <v>0.29572140000000002</v>
      </c>
      <c r="S5" s="38">
        <f>(C5)</f>
        <v>196</v>
      </c>
      <c r="T5" s="38">
        <f>(R5*S5)</f>
        <v>57.961394400000003</v>
      </c>
    </row>
    <row r="6" spans="2:21">
      <c r="B6" s="24">
        <f>(-0.00801)</f>
        <v>-8.0099999999999998E-3</v>
      </c>
      <c r="C6" s="38">
        <f t="shared" ref="C6:C11" si="0">(D6/B6)</f>
        <v>37.551186017478159</v>
      </c>
      <c r="D6" s="38">
        <v>-0.30078500000000002</v>
      </c>
      <c r="E6" s="38"/>
      <c r="M6" t="s">
        <v>11</v>
      </c>
      <c r="N6" s="24">
        <f>($B$16/5)</f>
        <v>9.8105999999999999E-2</v>
      </c>
      <c r="O6" s="38">
        <f>(C23)</f>
        <v>16.233513403322799</v>
      </c>
      <c r="P6" s="38">
        <f>(O6*N6)</f>
        <v>1.5926050659463866</v>
      </c>
      <c r="Q6" t="s">
        <v>12</v>
      </c>
      <c r="R6" s="24">
        <f>(B6+B7+B8+B9)</f>
        <v>1.406590000000001E-3</v>
      </c>
      <c r="S6" s="38">
        <v>0</v>
      </c>
      <c r="T6" s="38">
        <f>(D6+D7+D8+D9)</f>
        <v>-3.0785000000000007E-2</v>
      </c>
    </row>
    <row r="7" spans="2:21">
      <c r="B7" s="24">
        <v>-7.3249999999999999E-3</v>
      </c>
      <c r="C7" s="38">
        <f t="shared" si="0"/>
        <v>40.955631399317404</v>
      </c>
      <c r="D7" s="38">
        <v>-0.3</v>
      </c>
      <c r="E7" s="38"/>
      <c r="N7" s="24">
        <f>-B29</f>
        <v>0.10199999999999999</v>
      </c>
      <c r="O7" s="38">
        <f>P7/N7</f>
        <v>22.114333333333335</v>
      </c>
      <c r="P7" s="38">
        <f>-D29</f>
        <v>2.2556620000000001</v>
      </c>
      <c r="Q7" t="s">
        <v>12</v>
      </c>
      <c r="R7" s="24">
        <f>(B10+B11)</f>
        <v>1.6940399999999939E-3</v>
      </c>
      <c r="S7" s="38">
        <v>0</v>
      </c>
      <c r="T7" s="38">
        <f>(D10+D11)</f>
        <v>-0.22120000000000006</v>
      </c>
    </row>
    <row r="8" spans="2:21">
      <c r="B8" s="24">
        <f>(0.00803628-0.0000683)</f>
        <v>7.9679799999999995E-3</v>
      </c>
      <c r="C8" s="38">
        <f t="shared" si="0"/>
        <v>36.395673683919888</v>
      </c>
      <c r="D8" s="38">
        <v>0.28999999999999998</v>
      </c>
      <c r="E8" s="38"/>
      <c r="N8" s="24">
        <v>0.1</v>
      </c>
      <c r="O8" s="38">
        <f>-C33</f>
        <v>28.47092</v>
      </c>
      <c r="P8" s="38">
        <f>D33</f>
        <v>2.847092</v>
      </c>
      <c r="Q8" t="s">
        <v>12</v>
      </c>
      <c r="R8" s="24">
        <f>(B12)</f>
        <v>2.0999999999999999E-3</v>
      </c>
      <c r="S8" s="38">
        <v>0</v>
      </c>
      <c r="T8" s="38">
        <f>(R8*S8)</f>
        <v>0</v>
      </c>
    </row>
    <row r="9" spans="2:21">
      <c r="B9" s="24">
        <f>(0.00884882-0.00007521)</f>
        <v>8.7736100000000011E-3</v>
      </c>
      <c r="C9" s="38">
        <f t="shared" si="0"/>
        <v>31.913887214043022</v>
      </c>
      <c r="D9" s="38">
        <v>0.28000000000000003</v>
      </c>
      <c r="E9" s="38"/>
      <c r="N9" s="24">
        <f>(($B$16+$R$20+$R$9)/5)</f>
        <v>0.10329571600000001</v>
      </c>
      <c r="O9" s="38">
        <f>($C$16*Params!K11)</f>
        <v>51.373004709192095</v>
      </c>
      <c r="P9" s="38">
        <f>(O9*N9)</f>
        <v>5.3066113045073697</v>
      </c>
      <c r="R9" s="24">
        <f>(B13)</f>
        <v>1.4273000000000001E-2</v>
      </c>
      <c r="S9" s="38">
        <f>(T9/R9)</f>
        <v>0</v>
      </c>
      <c r="T9" s="38">
        <v>0</v>
      </c>
      <c r="U9" t="str">
        <f>E13</f>
        <v>NFT Burn</v>
      </c>
    </row>
    <row r="10" spans="2:21">
      <c r="B10" s="24">
        <v>0.10169404</v>
      </c>
      <c r="C10" s="38">
        <f t="shared" si="0"/>
        <v>35.006967959970908</v>
      </c>
      <c r="D10" s="38">
        <v>3.56</v>
      </c>
      <c r="E10" s="38"/>
      <c r="O10" s="38"/>
      <c r="P10" s="38"/>
      <c r="R10" s="24">
        <f>(B14)</f>
        <v>6.1610130000000485E-3</v>
      </c>
      <c r="S10" s="38">
        <f>(C14)</f>
        <v>0</v>
      </c>
      <c r="T10" s="38">
        <f>(D14)</f>
        <v>0</v>
      </c>
    </row>
    <row r="11" spans="2:21">
      <c r="B11" s="24">
        <v>-0.1</v>
      </c>
      <c r="C11" s="38">
        <f t="shared" si="0"/>
        <v>37.811999999999998</v>
      </c>
      <c r="D11" s="38">
        <v>-3.7812000000000001</v>
      </c>
      <c r="E11" s="38"/>
      <c r="O11" s="38"/>
      <c r="P11" s="38">
        <f>(SUM(P6:P9))</f>
        <v>12.001970370453757</v>
      </c>
      <c r="R11" s="24">
        <f>(B15)</f>
        <v>5.2777800000000652E-4</v>
      </c>
      <c r="S11" s="38">
        <f>(C15)</f>
        <v>0</v>
      </c>
      <c r="T11" s="38">
        <f>(D15)</f>
        <v>0</v>
      </c>
    </row>
    <row r="12" spans="2:21">
      <c r="B12" s="24">
        <v>2.0999999999999999E-3</v>
      </c>
      <c r="C12" s="38">
        <v>0</v>
      </c>
      <c r="D12" s="38">
        <v>0</v>
      </c>
      <c r="E12" s="38">
        <f>(B12*$J$3)</f>
        <v>5.4893999999999998E-2</v>
      </c>
      <c r="O12" s="38"/>
      <c r="P12" s="38"/>
      <c r="R12" s="24">
        <f>(B16+B23)</f>
        <v>0.39241999999999999</v>
      </c>
      <c r="S12" s="38">
        <f>(T12/R12)</f>
        <v>11.995642423933541</v>
      </c>
      <c r="T12" s="38">
        <f>(D16+D23)</f>
        <v>4.7073299999999998</v>
      </c>
    </row>
    <row r="13" spans="2:21">
      <c r="B13" s="24">
        <f>(0.002039*7)</f>
        <v>1.4273000000000001E-2</v>
      </c>
      <c r="C13" s="38">
        <v>0</v>
      </c>
      <c r="D13" s="38">
        <f>(C13*B13)</f>
        <v>0</v>
      </c>
      <c r="E13" t="s">
        <v>83</v>
      </c>
      <c r="F13" s="39"/>
      <c r="M13" t="s">
        <v>10</v>
      </c>
      <c r="N13" t="s">
        <v>29</v>
      </c>
      <c r="O13" t="s">
        <v>1</v>
      </c>
      <c r="P13" t="s">
        <v>2</v>
      </c>
      <c r="R13" s="24">
        <f>(B17+B21)</f>
        <v>5.2848837800000004</v>
      </c>
      <c r="S13" s="38">
        <f>(T13/R13)</f>
        <v>19.231761989664793</v>
      </c>
      <c r="T13" s="38">
        <f>(D17+11.97*B21)</f>
        <v>101.63762699999999</v>
      </c>
    </row>
    <row r="14" spans="2:21">
      <c r="B14" s="24">
        <f>(0.60148-0.595318987)</f>
        <v>6.1610130000000485E-3</v>
      </c>
      <c r="C14" s="38">
        <v>0</v>
      </c>
      <c r="D14" s="38">
        <v>0</v>
      </c>
      <c r="E14" s="38">
        <f>(B14*$J$3)</f>
        <v>0.16104887982000127</v>
      </c>
      <c r="M14" t="s">
        <v>11</v>
      </c>
      <c r="N14" s="24">
        <f>(-B21)</f>
        <v>0.28089999999999998</v>
      </c>
      <c r="O14" s="38">
        <f>(C21)</f>
        <v>14.959772160911358</v>
      </c>
      <c r="P14" s="38">
        <f>(O14*N14)</f>
        <v>4.2022000000000004</v>
      </c>
      <c r="Q14" t="s">
        <v>12</v>
      </c>
      <c r="R14" s="24">
        <f>(B18)</f>
        <v>3.0690180000000001E-2</v>
      </c>
      <c r="S14" s="38">
        <f>(C18)</f>
        <v>0</v>
      </c>
      <c r="T14" s="38">
        <f>(D18)</f>
        <v>0</v>
      </c>
    </row>
    <row r="15" spans="2:21">
      <c r="B15" s="24">
        <f>(0.10209-0.101562222)</f>
        <v>5.2777800000000652E-4</v>
      </c>
      <c r="C15" s="38">
        <v>0</v>
      </c>
      <c r="D15" s="38">
        <v>0</v>
      </c>
      <c r="E15" s="38">
        <f>(B15*$J$3)</f>
        <v>1.379611692000017E-2</v>
      </c>
      <c r="N15" s="24">
        <f>(2*($R$13+N14+$R$21)/5-N14)</f>
        <v>1.9634425600000003</v>
      </c>
      <c r="O15" s="38">
        <f>($S$13*Params!K9)</f>
        <v>30.770819183463672</v>
      </c>
      <c r="P15" s="38">
        <f>(O15*N15)</f>
        <v>60.416735990877029</v>
      </c>
      <c r="R15" s="24">
        <f>B19+B22</f>
        <v>1.5932746</v>
      </c>
      <c r="S15" s="38">
        <f>(T15/R15)</f>
        <v>19.707749059703829</v>
      </c>
      <c r="T15" s="38">
        <f>(D19+12.6*B22)</f>
        <v>31.399855999999996</v>
      </c>
    </row>
    <row r="16" spans="2:21">
      <c r="B16" s="24">
        <v>0.49053000000000002</v>
      </c>
      <c r="C16" s="38">
        <f>(D16/B16)</f>
        <v>12.843251177298024</v>
      </c>
      <c r="D16" s="38">
        <v>6.3</v>
      </c>
      <c r="E16" s="38"/>
      <c r="N16" s="24">
        <f>(($R$13+N14+$R$21)/5)</f>
        <v>1.1221712800000001</v>
      </c>
      <c r="O16" s="38">
        <f>($S$13*Params!K10)</f>
        <v>42.309876377262547</v>
      </c>
      <c r="P16" s="38">
        <f>(O16*N16)</f>
        <v>47.478928130914483</v>
      </c>
      <c r="R16" s="24">
        <f>(B20)</f>
        <v>4.1474400000000002E-2</v>
      </c>
      <c r="S16" s="38">
        <f>(T16/R16)</f>
        <v>12.055629496749802</v>
      </c>
      <c r="T16" s="38">
        <f>(D20)</f>
        <v>0.5</v>
      </c>
    </row>
    <row r="17" spans="2:22">
      <c r="B17" s="24">
        <v>5.5657837800000003</v>
      </c>
      <c r="C17" s="38">
        <f>(D17/B17)</f>
        <v>18.865267525717645</v>
      </c>
      <c r="D17" s="38">
        <v>105</v>
      </c>
      <c r="E17" t="s">
        <v>10</v>
      </c>
      <c r="N17" s="24">
        <f>(($R$13+N14+$R$21)/5)</f>
        <v>1.1221712800000001</v>
      </c>
      <c r="O17" s="38">
        <f>($S$13*Params!K11)</f>
        <v>76.927047958659173</v>
      </c>
      <c r="P17" s="38">
        <f>(O17*N17)</f>
        <v>86.325323874389966</v>
      </c>
      <c r="R17" s="24">
        <f>(B21-B21)</f>
        <v>0</v>
      </c>
      <c r="S17" s="38">
        <v>0</v>
      </c>
      <c r="T17" s="38">
        <f>(14.952/1.25*-B21+D21)</f>
        <v>-0.84218656000000047</v>
      </c>
      <c r="U17" t="s">
        <v>17</v>
      </c>
    </row>
    <row r="18" spans="2:22">
      <c r="B18" s="25">
        <v>3.0690180000000001E-2</v>
      </c>
      <c r="C18" s="40">
        <v>0</v>
      </c>
      <c r="D18" s="26">
        <v>0</v>
      </c>
      <c r="E18" s="39">
        <f>B18*J3</f>
        <v>0.80224130520000003</v>
      </c>
      <c r="O18" s="38"/>
      <c r="P18" s="38"/>
      <c r="R18" s="24">
        <f>(B22-B22)</f>
        <v>0</v>
      </c>
      <c r="S18" s="38">
        <v>0</v>
      </c>
      <c r="T18" s="38">
        <f>(12.6*-B22+D22)</f>
        <v>-0.26295951999999989</v>
      </c>
      <c r="U18" t="s">
        <v>16</v>
      </c>
    </row>
    <row r="19" spans="2:22">
      <c r="B19" s="24">
        <v>1.6647145999999999</v>
      </c>
      <c r="C19" s="38">
        <f t="shared" ref="C19:C32" si="1">(D19/B19)</f>
        <v>19.402725247919371</v>
      </c>
      <c r="D19" s="38">
        <v>32.299999999999997</v>
      </c>
      <c r="E19" t="s">
        <v>15</v>
      </c>
      <c r="O19" s="38"/>
      <c r="P19" s="38">
        <f>(SUM(P14:P17))</f>
        <v>198.42318799618147</v>
      </c>
      <c r="R19" s="24">
        <f>(B26+B27)</f>
        <v>6.3844300000000034E-3</v>
      </c>
      <c r="S19" s="38">
        <v>0</v>
      </c>
      <c r="T19" s="38">
        <f>(D26+D27)</f>
        <v>-6.9880729999999947E-2</v>
      </c>
      <c r="U19" t="s">
        <v>84</v>
      </c>
    </row>
    <row r="20" spans="2:22">
      <c r="B20" s="24">
        <v>4.1474400000000002E-2</v>
      </c>
      <c r="C20" s="38">
        <f t="shared" si="1"/>
        <v>12.055629496749802</v>
      </c>
      <c r="D20" s="38">
        <v>0.5</v>
      </c>
      <c r="E20" s="38"/>
      <c r="N20" s="24"/>
      <c r="O20" s="38"/>
      <c r="P20" s="38"/>
      <c r="R20" s="24">
        <f>(B28+B25)</f>
        <v>1.1675579999999991E-2</v>
      </c>
      <c r="S20" s="38">
        <v>0</v>
      </c>
      <c r="T20" s="38">
        <f>(D28+D25)</f>
        <v>-0.12000000000000011</v>
      </c>
      <c r="U20" t="s">
        <v>85</v>
      </c>
    </row>
    <row r="21" spans="2:22">
      <c r="B21" s="24">
        <v>-0.28089999999999998</v>
      </c>
      <c r="C21" s="38">
        <f t="shared" si="1"/>
        <v>14.959772160911358</v>
      </c>
      <c r="D21" s="38">
        <v>-4.2022000000000004</v>
      </c>
      <c r="E21" s="38"/>
      <c r="O21" s="38"/>
      <c r="P21" s="38"/>
      <c r="R21" s="24">
        <f>B31+B24+B30+B32</f>
        <v>4.5072619999999994E-2</v>
      </c>
      <c r="S21" s="38">
        <v>0</v>
      </c>
      <c r="T21" s="38">
        <f>D31+D24+D30+D32</f>
        <v>-0.45515192000000004</v>
      </c>
      <c r="U21" t="s">
        <v>86</v>
      </c>
      <c r="V21" s="39"/>
    </row>
    <row r="22" spans="2:22">
      <c r="B22" s="24">
        <v>-7.1440000000000003E-2</v>
      </c>
      <c r="C22" s="38">
        <f t="shared" si="1"/>
        <v>16.280844344904814</v>
      </c>
      <c r="D22" s="38">
        <v>-1.1631035199999999</v>
      </c>
      <c r="E22" s="38"/>
      <c r="M22" t="s">
        <v>15</v>
      </c>
      <c r="N22" t="s">
        <v>29</v>
      </c>
      <c r="O22" t="s">
        <v>1</v>
      </c>
      <c r="P22" t="s">
        <v>2</v>
      </c>
      <c r="R22" s="24">
        <f>B29</f>
        <v>-0.10199999999999999</v>
      </c>
      <c r="T22" s="39">
        <f>D29</f>
        <v>-2.2556620000000001</v>
      </c>
    </row>
    <row r="23" spans="2:22">
      <c r="B23" s="24">
        <v>-9.8110000000000003E-2</v>
      </c>
      <c r="C23" s="38">
        <f t="shared" si="1"/>
        <v>16.233513403322799</v>
      </c>
      <c r="D23" s="38">
        <v>-1.59267</v>
      </c>
      <c r="E23" s="38"/>
      <c r="M23" t="s">
        <v>11</v>
      </c>
      <c r="N23" s="24">
        <f>(-B22)</f>
        <v>7.1440000000000003E-2</v>
      </c>
      <c r="O23" s="38">
        <f>(C22)</f>
        <v>16.280844344904814</v>
      </c>
      <c r="P23" s="38">
        <f>(O23*N23)</f>
        <v>1.1631035199999999</v>
      </c>
      <c r="Q23" t="s">
        <v>12</v>
      </c>
      <c r="S23" s="38"/>
      <c r="T23" s="38"/>
    </row>
    <row r="24" spans="2:22">
      <c r="B24" s="24">
        <v>-0.31</v>
      </c>
      <c r="C24" s="38">
        <f t="shared" si="1"/>
        <v>18.399999999999999</v>
      </c>
      <c r="D24" s="38">
        <v>-5.7039999999999997</v>
      </c>
      <c r="E24" s="38"/>
      <c r="N24" s="24">
        <f>(2*($R$15+$N$23+$R$19)/5-$N$23)</f>
        <v>0.59699961200000007</v>
      </c>
      <c r="O24" s="38">
        <f>($S$15*Params!K9)</f>
        <v>31.532398495526127</v>
      </c>
      <c r="P24" s="38">
        <f>(O24*N24)</f>
        <v>18.824829667258484</v>
      </c>
      <c r="S24" s="38"/>
      <c r="T24" s="38"/>
    </row>
    <row r="25" spans="2:22">
      <c r="B25" s="24">
        <v>-9.8095000000000002E-2</v>
      </c>
      <c r="C25" s="38">
        <f t="shared" si="1"/>
        <v>22.019470921045926</v>
      </c>
      <c r="D25" s="38">
        <v>-2.16</v>
      </c>
      <c r="E25" s="38"/>
      <c r="N25" s="24">
        <f>($R$15+$N$23+$R$19)/5</f>
        <v>0.33421980600000001</v>
      </c>
      <c r="O25" s="38">
        <f>($S$15*Params!K10)</f>
        <v>43.357047931348426</v>
      </c>
      <c r="P25" s="38">
        <f>(O25*N25)</f>
        <v>14.490784148347972</v>
      </c>
      <c r="S25" s="38"/>
      <c r="T25" s="38"/>
    </row>
    <row r="26" spans="2:22">
      <c r="B26" s="24">
        <f>(-0.05715)</f>
        <v>-5.7149999999999999E-2</v>
      </c>
      <c r="C26" s="38">
        <f t="shared" si="1"/>
        <v>22.045157130358703</v>
      </c>
      <c r="D26" s="38">
        <v>-1.2598807299999999</v>
      </c>
      <c r="E26" s="38"/>
      <c r="N26" s="24">
        <f>($R$15+$N$23+$R$19)/5</f>
        <v>0.33421980600000001</v>
      </c>
      <c r="O26" s="38">
        <f>($S$15*Params!K11)</f>
        <v>78.830996238815317</v>
      </c>
      <c r="P26" s="38">
        <f>(O26*N26)</f>
        <v>26.346880269723584</v>
      </c>
      <c r="S26" s="38"/>
      <c r="T26" s="38"/>
    </row>
    <row r="27" spans="2:22">
      <c r="B27" s="24">
        <v>6.3534430000000003E-2</v>
      </c>
      <c r="C27" s="38">
        <f t="shared" si="1"/>
        <v>18.730001984750629</v>
      </c>
      <c r="D27" s="38">
        <v>1.19</v>
      </c>
      <c r="E27" s="38"/>
      <c r="O27" s="38"/>
      <c r="P27" s="38"/>
      <c r="S27" s="38"/>
      <c r="T27" s="38"/>
    </row>
    <row r="28" spans="2:22">
      <c r="B28" s="24">
        <f>(0.02767109+0.08304053-0.00094104)</f>
        <v>0.10977057999999999</v>
      </c>
      <c r="C28" s="38">
        <f t="shared" si="1"/>
        <v>18.584214458919686</v>
      </c>
      <c r="D28" s="38">
        <v>2.04</v>
      </c>
      <c r="E28" s="38"/>
      <c r="O28" s="38"/>
      <c r="P28" s="38">
        <f>(SUM(P23:P26))</f>
        <v>60.825597605330039</v>
      </c>
      <c r="S28" s="38"/>
      <c r="T28" s="38"/>
    </row>
    <row r="29" spans="2:22">
      <c r="B29" s="24">
        <v>-0.10199999999999999</v>
      </c>
      <c r="C29" s="38">
        <f t="shared" si="1"/>
        <v>22.114333333333335</v>
      </c>
      <c r="D29" s="38">
        <f>(-2.275+0.019338)</f>
        <v>-2.2556620000000001</v>
      </c>
      <c r="E29" s="38"/>
      <c r="S29" s="38"/>
      <c r="T29" s="38"/>
    </row>
    <row r="30" spans="2:22">
      <c r="B30" s="24">
        <v>0.11322</v>
      </c>
      <c r="C30" s="38">
        <f t="shared" si="1"/>
        <v>18.812930577636457</v>
      </c>
      <c r="D30" s="38">
        <v>2.13</v>
      </c>
      <c r="E30" s="38"/>
      <c r="N30" s="24"/>
      <c r="P30" s="24"/>
      <c r="S30" s="38"/>
      <c r="T30" s="38"/>
    </row>
    <row r="31" spans="2:22">
      <c r="B31" s="24">
        <v>0.34735262</v>
      </c>
      <c r="C31" s="38">
        <f t="shared" si="1"/>
        <v>15.48858333067993</v>
      </c>
      <c r="D31" s="38">
        <v>5.38</v>
      </c>
      <c r="E31" s="38"/>
      <c r="S31" s="38"/>
      <c r="T31" s="38"/>
    </row>
    <row r="32" spans="2:22">
      <c r="B32" s="24">
        <v>-0.1055</v>
      </c>
      <c r="C32" s="38">
        <f t="shared" si="1"/>
        <v>21.432719620853081</v>
      </c>
      <c r="D32" s="38">
        <v>-2.2611519200000001</v>
      </c>
      <c r="E32" s="38"/>
      <c r="S32" s="38"/>
      <c r="T32" s="38"/>
    </row>
    <row r="33" spans="2:23">
      <c r="B33" s="24">
        <v>-0.1</v>
      </c>
      <c r="C33" s="38">
        <f>D33/B33</f>
        <v>-28.47092</v>
      </c>
      <c r="D33" s="38">
        <f>2.8715-0.024408</f>
        <v>2.847092</v>
      </c>
      <c r="E33" s="38"/>
      <c r="S33" s="38"/>
      <c r="T33" s="38"/>
    </row>
    <row r="34" spans="2:23">
      <c r="C34" s="38"/>
      <c r="D34" s="38"/>
      <c r="E34" s="38"/>
      <c r="S34" s="38"/>
      <c r="T34" s="38"/>
    </row>
    <row r="35" spans="2:23">
      <c r="B35" s="24">
        <f>(SUM(B5:B34))</f>
        <v>7.525759411000001</v>
      </c>
      <c r="C35" s="38"/>
      <c r="D35" s="38">
        <f>(SUM(D5:D34))</f>
        <v>194.79783322999998</v>
      </c>
      <c r="E35" s="38"/>
      <c r="F35" t="s">
        <v>9</v>
      </c>
      <c r="G35" s="38">
        <f>(D35/B35)</f>
        <v>25.88414306007104</v>
      </c>
      <c r="S35" s="38"/>
      <c r="T35" s="38"/>
    </row>
    <row r="36" spans="2:23">
      <c r="K36">
        <v>21</v>
      </c>
      <c r="M36" s="24"/>
      <c r="S36" s="38"/>
      <c r="T36" s="38"/>
    </row>
    <row r="37" spans="2:23">
      <c r="R37" s="24">
        <f>(SUM(R5:R36))</f>
        <v>7.6257594109999998</v>
      </c>
      <c r="S37" s="38"/>
      <c r="T37" s="38">
        <f>(SUM(T5:T36))</f>
        <v>191.94838167</v>
      </c>
      <c r="V37" t="s">
        <v>9</v>
      </c>
      <c r="W37" s="38">
        <f>(T37/R37)</f>
        <v>25.171051343833174</v>
      </c>
    </row>
    <row r="39" spans="2:23">
      <c r="N39" s="24"/>
    </row>
  </sheetData>
  <conditionalFormatting sqref="C5 C8:C10 S5">
    <cfRule type="cellIs" dxfId="101" priority="85" operator="lessThan">
      <formula>$J$3</formula>
    </cfRule>
    <cfRule type="cellIs" dxfId="100" priority="86" operator="greaterThan">
      <formula>$J$3</formula>
    </cfRule>
  </conditionalFormatting>
  <conditionalFormatting sqref="C16:C17">
    <cfRule type="cellIs" dxfId="99" priority="69" operator="lessThan">
      <formula>$J$3</formula>
    </cfRule>
    <cfRule type="cellIs" dxfId="98" priority="70" operator="greaterThan">
      <formula>$J$3</formula>
    </cfRule>
    <cfRule type="cellIs" dxfId="97" priority="71" operator="lessThan">
      <formula>$J$3</formula>
    </cfRule>
    <cfRule type="cellIs" dxfId="96" priority="72" operator="greaterThan">
      <formula>$J$3</formula>
    </cfRule>
    <cfRule type="cellIs" dxfId="95" priority="79" operator="lessThan">
      <formula>$J$3</formula>
    </cfRule>
    <cfRule type="cellIs" dxfId="94" priority="80" operator="greaterThan">
      <formula>$J$3</formula>
    </cfRule>
  </conditionalFormatting>
  <conditionalFormatting sqref="C19:C20 G35">
    <cfRule type="cellIs" dxfId="93" priority="63" operator="lessThan">
      <formula>$J$3</formula>
    </cfRule>
    <cfRule type="cellIs" dxfId="92" priority="64" operator="greaterThan">
      <formula>$J$3</formula>
    </cfRule>
    <cfRule type="cellIs" dxfId="91" priority="65" operator="lessThan">
      <formula>$J$3</formula>
    </cfRule>
    <cfRule type="cellIs" dxfId="90" priority="66" operator="greaterThan">
      <formula>$J$3</formula>
    </cfRule>
    <cfRule type="cellIs" dxfId="89" priority="67" operator="lessThan">
      <formula>$J$3</formula>
    </cfRule>
    <cfRule type="cellIs" dxfId="88" priority="68" operator="greaterThan">
      <formula>$J$3</formula>
    </cfRule>
    <cfRule type="cellIs" dxfId="87" priority="77" operator="lessThan">
      <formula>$J$3</formula>
    </cfRule>
    <cfRule type="cellIs" dxfId="86" priority="78" operator="greaterThan">
      <formula>$J$3</formula>
    </cfRule>
  </conditionalFormatting>
  <conditionalFormatting sqref="C27:C28 C30:C31">
    <cfRule type="cellIs" dxfId="85" priority="55" operator="lessThan">
      <formula>$J$3</formula>
    </cfRule>
    <cfRule type="cellIs" dxfId="84" priority="56" operator="greaterThan">
      <formula>$J$3</formula>
    </cfRule>
    <cfRule type="cellIs" dxfId="83" priority="57" operator="lessThan">
      <formula>$J$3</formula>
    </cfRule>
    <cfRule type="cellIs" dxfId="82" priority="58" operator="greaterThan">
      <formula>$J$3</formula>
    </cfRule>
    <cfRule type="cellIs" dxfId="81" priority="59" operator="lessThan">
      <formula>$J$3</formula>
    </cfRule>
    <cfRule type="cellIs" dxfId="80" priority="60" operator="greaterThan">
      <formula>$J$3</formula>
    </cfRule>
    <cfRule type="cellIs" dxfId="79" priority="61" operator="lessThan">
      <formula>$J$3</formula>
    </cfRule>
    <cfRule type="cellIs" dxfId="78" priority="62" operator="greaterThan">
      <formula>$J$3</formula>
    </cfRule>
    <cfRule type="cellIs" dxfId="77" priority="75" operator="lessThan">
      <formula>$J$3</formula>
    </cfRule>
    <cfRule type="cellIs" dxfId="76" priority="76" operator="greaterThan">
      <formula>$J$3</formula>
    </cfRule>
  </conditionalFormatting>
  <conditionalFormatting sqref="O9 O15:O17 O24:O26 S12:S13 S15:S16">
    <cfRule type="cellIs" dxfId="75" priority="49" operator="lessThan">
      <formula>$J$3</formula>
    </cfRule>
    <cfRule type="cellIs" dxfId="74" priority="50" operator="greaterThan">
      <formula>$J$3</formula>
    </cfRule>
    <cfRule type="cellIs" dxfId="73" priority="51" operator="lessThan">
      <formula>$J$3</formula>
    </cfRule>
    <cfRule type="cellIs" dxfId="72" priority="52" operator="greaterThan">
      <formula>$J$3</formula>
    </cfRule>
  </conditionalFormatting>
  <conditionalFormatting sqref="O3">
    <cfRule type="cellIs" dxfId="71" priority="31" operator="greaterThan">
      <formula>$J$3</formula>
    </cfRule>
    <cfRule type="cellIs" dxfId="70" priority="32" operator="lessThan">
      <formula>$J$3</formula>
    </cfRule>
  </conditionalFormatting>
  <conditionalFormatting sqref="W37">
    <cfRule type="cellIs" dxfId="69" priority="1" operator="lessThan">
      <formula>$J$3</formula>
    </cfRule>
    <cfRule type="cellIs" dxfId="68" priority="2" operator="greaterThan">
      <formula>$J$3</formula>
    </cfRule>
    <cfRule type="cellIs" dxfId="67" priority="3" operator="lessThan">
      <formula>$J$3</formula>
    </cfRule>
    <cfRule type="cellIs" dxfId="66" priority="4" operator="greaterThan">
      <formula>$J$3</formula>
    </cfRule>
    <cfRule type="cellIs" dxfId="65" priority="5" operator="lessThan">
      <formula>$J$3</formula>
    </cfRule>
    <cfRule type="cellIs" dxfId="64" priority="6" operator="greaterThan">
      <formula>$J$3</formula>
    </cfRule>
    <cfRule type="cellIs" dxfId="63" priority="7" operator="lessThan">
      <formula>$J$3</formula>
    </cfRule>
    <cfRule type="cellIs" dxfId="62" priority="8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35">
        <v>7.922212904396761E-2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8">
        <f>(B13*J3)</f>
        <v>0.73323694068386236</v>
      </c>
      <c r="K4" s="4">
        <f>(J4/D13-1)</f>
        <v>0.46647388136772472</v>
      </c>
    </row>
    <row r="5" spans="2:17">
      <c r="B5" s="19">
        <v>9.10125837</v>
      </c>
      <c r="C5" s="35">
        <f>(D5/B5)</f>
        <v>5.4937458060538499E-2</v>
      </c>
      <c r="D5" s="38">
        <v>0.5</v>
      </c>
      <c r="E5" s="38"/>
      <c r="G5" s="38"/>
      <c r="N5" t="s">
        <v>29</v>
      </c>
      <c r="O5" t="s">
        <v>1</v>
      </c>
      <c r="P5" t="s">
        <v>2</v>
      </c>
    </row>
    <row r="6" spans="2:17">
      <c r="B6" s="20">
        <v>0.15419777000000001</v>
      </c>
      <c r="C6" s="40">
        <v>0</v>
      </c>
      <c r="D6" s="26">
        <f>(B6*C6)</f>
        <v>0</v>
      </c>
      <c r="E6" s="38">
        <f>(B6*J3)</f>
        <v>1.2215875633232039E-2</v>
      </c>
      <c r="G6" s="38"/>
      <c r="M6" t="s">
        <v>11</v>
      </c>
      <c r="N6" s="19">
        <f>($B$13/5)</f>
        <v>1.851091228</v>
      </c>
      <c r="O6" s="35">
        <f>($C$5*Params!K8)</f>
        <v>7.1418695478700056E-2</v>
      </c>
      <c r="P6" s="38">
        <f>(O6*N6)</f>
        <v>0.13220252071582494</v>
      </c>
      <c r="Q6" s="38">
        <f>N6*$J$3</f>
        <v>0.14664738813677247</v>
      </c>
    </row>
    <row r="7" spans="2:17">
      <c r="C7" s="38"/>
      <c r="D7" s="38"/>
      <c r="E7" s="38"/>
      <c r="G7" s="38"/>
      <c r="N7" s="19">
        <f>($B$13/5)</f>
        <v>1.851091228</v>
      </c>
      <c r="O7" s="35">
        <f>($C$5*Params!K9)</f>
        <v>8.7899932896861599E-2</v>
      </c>
      <c r="P7" s="38">
        <f>(O7*N7)</f>
        <v>0.16271079472716915</v>
      </c>
      <c r="Q7" s="38"/>
    </row>
    <row r="8" spans="2:17">
      <c r="C8" s="38"/>
      <c r="D8" s="38"/>
      <c r="E8" s="38"/>
      <c r="G8" s="38"/>
      <c r="N8" s="19">
        <f>($B$13/5)</f>
        <v>1.851091228</v>
      </c>
      <c r="O8" s="35">
        <f>($C$5*Params!K10)</f>
        <v>0.12086240773318471</v>
      </c>
      <c r="P8" s="38">
        <f>(O8*N8)</f>
        <v>0.22372734274985759</v>
      </c>
      <c r="Q8" s="38"/>
    </row>
    <row r="9" spans="2:17">
      <c r="C9" s="38"/>
      <c r="D9" s="38"/>
      <c r="E9" s="38"/>
      <c r="G9" s="38"/>
      <c r="N9" s="19">
        <f>($B$13/5)</f>
        <v>1.851091228</v>
      </c>
      <c r="O9" s="35">
        <f>($C$5*Params!K11)</f>
        <v>0.219749832242154</v>
      </c>
      <c r="P9" s="38">
        <f>(O9*N9)</f>
        <v>0.40677698681792285</v>
      </c>
      <c r="Q9" s="38"/>
    </row>
    <row r="10" spans="2:17">
      <c r="C10" s="38"/>
      <c r="D10" s="38"/>
      <c r="E10" s="38"/>
      <c r="G10" s="38"/>
      <c r="O10" s="38"/>
      <c r="P10" s="38"/>
    </row>
    <row r="11" spans="2:17">
      <c r="C11" s="38"/>
      <c r="D11" s="38"/>
      <c r="E11" s="38"/>
      <c r="G11" s="38"/>
      <c r="O11" s="38"/>
      <c r="P11" s="38">
        <f>(SUM(P6:P9))</f>
        <v>0.9254176450107745</v>
      </c>
    </row>
    <row r="12" spans="2:17">
      <c r="C12" s="38"/>
      <c r="D12" s="38"/>
      <c r="E12" s="38"/>
      <c r="F12" t="s">
        <v>9</v>
      </c>
      <c r="G12" s="38">
        <f>(D13/B13)</f>
        <v>5.4022188905321747E-2</v>
      </c>
    </row>
    <row r="13" spans="2:17">
      <c r="B13">
        <f>(SUM(B5:B12))</f>
        <v>9.2554561399999997</v>
      </c>
      <c r="C13" s="38"/>
      <c r="D13" s="38">
        <f>(SUM(D5:D12))</f>
        <v>0.5</v>
      </c>
      <c r="E13" s="38"/>
      <c r="G13" s="38"/>
    </row>
  </sheetData>
  <conditionalFormatting sqref="C5">
    <cfRule type="cellIs" dxfId="61" priority="7" operator="lessThan">
      <formula>$J$3</formula>
    </cfRule>
    <cfRule type="cellIs" dxfId="60" priority="8" operator="greaterThan">
      <formula>$J$3</formula>
    </cfRule>
  </conditionalFormatting>
  <conditionalFormatting sqref="O6:O9">
    <cfRule type="cellIs" dxfId="59" priority="5" operator="lessThan">
      <formula>$J$3</formula>
    </cfRule>
    <cfRule type="cellIs" dxfId="58" priority="6" operator="greaterThan">
      <formula>$J$3</formula>
    </cfRule>
    <cfRule type="cellIs" dxfId="57" priority="1" operator="lessThan">
      <formula>$J$3</formula>
    </cfRule>
    <cfRule type="cellIs" dxfId="56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1"/>
  <sheetViews>
    <sheetView zoomScale="85" zoomScaleNormal="85" workbookViewId="0">
      <selection activeCell="Y3" sqref="Y3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23</v>
      </c>
      <c r="N2" t="s">
        <v>24</v>
      </c>
      <c r="X2" t="s">
        <v>25</v>
      </c>
      <c r="Y2" s="19">
        <f>(C231)</f>
        <v>69.150000000000006</v>
      </c>
    </row>
    <row r="3" spans="13:25">
      <c r="M3">
        <v>51</v>
      </c>
      <c r="N3">
        <f>(1/213)</f>
        <v>4.6948356807511738E-3</v>
      </c>
    </row>
    <row r="31" spans="2:5">
      <c r="C31" t="s">
        <v>26</v>
      </c>
      <c r="D31" t="s">
        <v>27</v>
      </c>
      <c r="E31" t="s">
        <v>28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27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27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27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27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27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27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27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27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27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J4" sqref="J4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8"/>
      <c r="D3" s="38"/>
      <c r="E3" s="38"/>
      <c r="G3" s="38"/>
      <c r="H3" s="38"/>
      <c r="I3" t="s">
        <v>3</v>
      </c>
      <c r="J3" s="38">
        <v>5.8</v>
      </c>
      <c r="O3" s="38"/>
      <c r="P3" s="38"/>
    </row>
    <row r="4" spans="2:16">
      <c r="B4" t="s">
        <v>5</v>
      </c>
      <c r="C4" t="s">
        <v>6</v>
      </c>
      <c r="D4" t="s">
        <v>7</v>
      </c>
      <c r="E4" s="38"/>
      <c r="G4" s="38"/>
      <c r="H4" s="38"/>
      <c r="I4" t="s">
        <v>8</v>
      </c>
      <c r="J4" s="38">
        <f>(B10*J3)</f>
        <v>9.4095623719999999</v>
      </c>
      <c r="K4" s="4">
        <f>(J4/D10-1)</f>
        <v>2.8367472349726697E-2</v>
      </c>
      <c r="O4" s="38"/>
      <c r="P4" s="38"/>
    </row>
    <row r="5" spans="2:16">
      <c r="B5" s="1">
        <v>1.6210441200000001</v>
      </c>
      <c r="C5" s="38">
        <f>(D5/B5)</f>
        <v>5.6445101568241087</v>
      </c>
      <c r="D5" s="38">
        <v>9.15</v>
      </c>
      <c r="E5" t="s">
        <v>81</v>
      </c>
      <c r="G5" s="38"/>
      <c r="H5" s="38"/>
      <c r="J5" s="38"/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1.29422E-3</v>
      </c>
      <c r="C6" s="40">
        <v>0</v>
      </c>
      <c r="D6" s="40">
        <f>(B6*C6)</f>
        <v>0</v>
      </c>
      <c r="E6" s="38">
        <f>(B6*J3)</f>
        <v>7.5064759999999998E-3</v>
      </c>
      <c r="G6" s="38"/>
      <c r="H6" s="38"/>
      <c r="J6" s="38"/>
      <c r="M6" t="s">
        <v>11</v>
      </c>
      <c r="N6" s="1">
        <f>($B$5/5)</f>
        <v>0.32420882400000001</v>
      </c>
      <c r="O6" s="35">
        <f>($C$5*Params!K8)</f>
        <v>7.3378632038713416</v>
      </c>
      <c r="P6" s="38">
        <f>(O6*N6)</f>
        <v>2.379</v>
      </c>
    </row>
    <row r="7" spans="2:16">
      <c r="C7" s="38"/>
      <c r="D7" s="38"/>
      <c r="E7" s="38"/>
      <c r="G7" s="38"/>
      <c r="H7" s="38"/>
      <c r="J7" s="38"/>
      <c r="N7" s="1">
        <f>($B$5/5)</f>
        <v>0.32420882400000001</v>
      </c>
      <c r="O7" s="35">
        <f>($C$5*Params!K9)</f>
        <v>9.0312162509185736</v>
      </c>
      <c r="P7" s="38">
        <f>(O7*N7)</f>
        <v>2.9279999999999999</v>
      </c>
    </row>
    <row r="8" spans="2:16">
      <c r="C8" s="38"/>
      <c r="D8" s="38"/>
      <c r="E8" s="38"/>
      <c r="G8" s="38"/>
      <c r="H8" s="38"/>
      <c r="J8" s="38"/>
      <c r="N8" s="1">
        <f>($B$5/5)</f>
        <v>0.32420882400000001</v>
      </c>
      <c r="O8" s="35">
        <f>($C$5*Params!K10)</f>
        <v>12.417922345013039</v>
      </c>
      <c r="P8" s="38">
        <f>(O8*N8)</f>
        <v>4.0259999999999998</v>
      </c>
    </row>
    <row r="9" spans="2:16">
      <c r="C9" s="38"/>
      <c r="D9" s="38"/>
      <c r="E9" s="38"/>
      <c r="F9" t="s">
        <v>9</v>
      </c>
      <c r="G9" s="38">
        <f>(D10/B10)</f>
        <v>5.6400072502755503</v>
      </c>
      <c r="H9" s="38"/>
      <c r="J9" s="38"/>
      <c r="N9" s="1">
        <f>($B$5/5)</f>
        <v>0.32420882400000001</v>
      </c>
      <c r="O9" s="35">
        <f>($C$5*Params!K11)</f>
        <v>22.578040627296435</v>
      </c>
      <c r="P9" s="38">
        <f>(O9*N9)</f>
        <v>7.3199999999999994</v>
      </c>
    </row>
    <row r="10" spans="2:16">
      <c r="B10" s="1">
        <f>(SUM(B5:B9))</f>
        <v>1.62233834</v>
      </c>
      <c r="C10" s="38"/>
      <c r="D10" s="38">
        <f>(SUM(D5:D9))</f>
        <v>9.15</v>
      </c>
      <c r="E10" s="38"/>
      <c r="G10" s="38"/>
      <c r="H10" s="38"/>
      <c r="J10" s="38"/>
      <c r="O10" s="38"/>
      <c r="P10" s="38"/>
    </row>
    <row r="11" spans="2:16">
      <c r="O11" s="38"/>
      <c r="P11" s="38">
        <f>(SUM(P6:P9))</f>
        <v>16.652999999999999</v>
      </c>
    </row>
    <row r="12" spans="2:16">
      <c r="O12" s="38"/>
      <c r="P12" s="38"/>
    </row>
    <row r="13" spans="2:16">
      <c r="O13" s="38"/>
      <c r="P13" s="38"/>
    </row>
  </sheetData>
  <conditionalFormatting sqref="C5">
    <cfRule type="cellIs" dxfId="55" priority="5" operator="lessThan">
      <formula>$J$3</formula>
    </cfRule>
    <cfRule type="cellIs" dxfId="54" priority="6" operator="greaterThan">
      <formula>$J$3</formula>
    </cfRule>
  </conditionalFormatting>
  <conditionalFormatting sqref="O6:O9">
    <cfRule type="cellIs" dxfId="53" priority="3" operator="lessThan">
      <formula>$J$3</formula>
    </cfRule>
    <cfRule type="cellIs" dxfId="52" priority="4" operator="greaterThan">
      <formula>$J$3</formula>
    </cfRule>
  </conditionalFormatting>
  <conditionalFormatting sqref="G9">
    <cfRule type="cellIs" dxfId="51" priority="1" operator="lessThan">
      <formula>$J$3</formula>
    </cfRule>
    <cfRule type="cellIs" dxfId="50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T24"/>
  <sheetViews>
    <sheetView workbookViewId="0">
      <selection activeCell="K4" sqref="K4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0.69706913935374148</v>
      </c>
      <c r="M3" t="s">
        <v>4</v>
      </c>
      <c r="N3" s="19">
        <f>(INDEX(N5:N13,MATCH(MAX(O6:O8),O5:O13,0))/0.9)</f>
        <v>12.032396237777778</v>
      </c>
      <c r="O3" s="39">
        <f>(MAX(O6:O8)*0.85)</f>
        <v>0.66743653481043641</v>
      </c>
      <c r="P3" s="38">
        <f>(O3*N3)</f>
        <v>8.0308608504085317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(B13*J3)</f>
        <v>15.102548758029766</v>
      </c>
      <c r="K4" s="4">
        <f>(J4/D13-1)</f>
        <v>-6.4399699918607576</v>
      </c>
      <c r="R4" t="s">
        <v>5</v>
      </c>
      <c r="S4" t="s">
        <v>6</v>
      </c>
      <c r="T4" t="s">
        <v>7</v>
      </c>
    </row>
    <row r="5" spans="2:20">
      <c r="B5" s="19">
        <v>52.112819999999999</v>
      </c>
      <c r="C5" s="38">
        <f>(D5/B5)</f>
        <v>0.35691793305370928</v>
      </c>
      <c r="D5" s="38">
        <v>18.600000000000001</v>
      </c>
      <c r="N5" t="s">
        <v>29</v>
      </c>
      <c r="O5" t="s">
        <v>1</v>
      </c>
      <c r="P5" t="s">
        <v>2</v>
      </c>
      <c r="R5">
        <f>(SUM(B$5:B$7))</f>
        <v>54.14578307</v>
      </c>
      <c r="S5" s="38">
        <f>(T5/R5)</f>
        <v>0.3527513855567922</v>
      </c>
      <c r="T5" s="38">
        <f>(SUM(D5:D7))</f>
        <v>19.100000000000001</v>
      </c>
    </row>
    <row r="6" spans="2:20">
      <c r="B6" s="20">
        <v>0.57077160000000005</v>
      </c>
      <c r="C6" s="40">
        <v>0</v>
      </c>
      <c r="D6" s="40">
        <f>(B6*C6)</f>
        <v>0</v>
      </c>
      <c r="E6" s="38">
        <f>(B6*J3)</f>
        <v>0.39786726797955801</v>
      </c>
      <c r="M6" t="s">
        <v>11</v>
      </c>
      <c r="N6">
        <f>(-B8)</f>
        <v>10.76</v>
      </c>
      <c r="O6" s="38">
        <f>P6/N6</f>
        <v>0.46958153903345723</v>
      </c>
      <c r="P6" s="38">
        <f>(-D8)</f>
        <v>5.0526973599999998</v>
      </c>
      <c r="Q6" t="s">
        <v>12</v>
      </c>
      <c r="R6">
        <f>(B8)</f>
        <v>-10.76</v>
      </c>
      <c r="S6" s="38">
        <f>(C8)</f>
        <v>0.46958153903345723</v>
      </c>
      <c r="T6" s="38">
        <f>(D8)</f>
        <v>-5.0526973599999998</v>
      </c>
    </row>
    <row r="7" spans="2:20">
      <c r="B7" s="19">
        <v>1.46219147</v>
      </c>
      <c r="C7" s="38">
        <f>(D7/B7)</f>
        <v>0.34195248040942272</v>
      </c>
      <c r="D7" s="38">
        <v>0.5</v>
      </c>
      <c r="N7" s="19">
        <f>(2*SUM(B$5:B$7)/5-N6)</f>
        <v>10.898313228000001</v>
      </c>
      <c r="O7" s="38">
        <f>($C$5*Params!K9)</f>
        <v>0.57106869288593487</v>
      </c>
      <c r="P7" s="38">
        <f>(O7*N7)</f>
        <v>6.2236854897754537</v>
      </c>
      <c r="Q7" t="s">
        <v>12</v>
      </c>
    </row>
    <row r="8" spans="2:20">
      <c r="B8">
        <v>-10.76</v>
      </c>
      <c r="C8" s="38">
        <f>(D8/B8)</f>
        <v>0.46958153903345723</v>
      </c>
      <c r="D8" s="38">
        <v>-5.0526973599999998</v>
      </c>
      <c r="N8" s="19">
        <f>(SUM(B$5:B$7)/5)</f>
        <v>10.829156614</v>
      </c>
      <c r="O8" s="38">
        <f>($C$5*Params!K10)</f>
        <v>0.78521945271816052</v>
      </c>
      <c r="P8" s="38">
        <f>(O8*N8)</f>
        <v>8.5032644298443287</v>
      </c>
      <c r="Q8" t="s">
        <v>12</v>
      </c>
    </row>
    <row r="9" spans="2:20">
      <c r="B9">
        <v>-21.72</v>
      </c>
      <c r="C9" s="39">
        <f>D9/B9</f>
        <v>0.77456361740331492</v>
      </c>
      <c r="D9" s="38">
        <v>-16.823521769999999</v>
      </c>
      <c r="N9" s="19">
        <f>(SUM(B$5:B$7)/5)</f>
        <v>10.829156614</v>
      </c>
      <c r="O9" s="38">
        <f>($C$5*Params!K11)</f>
        <v>1.4276717322148371</v>
      </c>
      <c r="P9" s="38">
        <f>(O9*N9)</f>
        <v>15.460480781535141</v>
      </c>
    </row>
    <row r="11" spans="2:20">
      <c r="P11" s="38">
        <f>(SUM(P6:P9))</f>
        <v>35.24012806115492</v>
      </c>
    </row>
    <row r="12" spans="2:20">
      <c r="F12" t="s">
        <v>9</v>
      </c>
      <c r="G12" s="38">
        <f>(D13/B13)</f>
        <v>-0.1281384162774227</v>
      </c>
    </row>
    <row r="13" spans="2:20">
      <c r="B13">
        <f>(SUM(B5:B12))</f>
        <v>21.665783070000003</v>
      </c>
      <c r="D13" s="38">
        <f>(SUM(D5:D12))</f>
        <v>-2.7762191299999976</v>
      </c>
    </row>
    <row r="17" spans="14:20">
      <c r="R17">
        <f>(SUM(R5:R16))</f>
        <v>43.385783070000002</v>
      </c>
      <c r="T17" s="38">
        <f>(SUM(T5:T16))</f>
        <v>14.047302640000002</v>
      </c>
    </row>
    <row r="24" spans="14:20">
      <c r="N24" s="19"/>
    </row>
  </sheetData>
  <conditionalFormatting sqref="C5 C7 G12 O9 S5">
    <cfRule type="cellIs" dxfId="49" priority="11" operator="lessThan">
      <formula>$J$3</formula>
    </cfRule>
    <cfRule type="cellIs" dxfId="48" priority="12" operator="greaterThan">
      <formula>$J$3</formula>
    </cfRule>
  </conditionalFormatting>
  <conditionalFormatting sqref="O3">
    <cfRule type="cellIs" dxfId="47" priority="5" operator="greaterThan">
      <formula>$J$3</formula>
    </cfRule>
    <cfRule type="cellIs" dxfId="46" priority="6" operator="less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W35"/>
  <sheetViews>
    <sheetView workbookViewId="0">
      <selection activeCell="J4" sqref="J4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0.11700000000000001</v>
      </c>
      <c r="M3" t="s">
        <v>4</v>
      </c>
      <c r="N3" s="29">
        <f>(INDEX(N5:N26,MATCH(MAX(O6:O7),O5:O26,0))/0.9)</f>
        <v>14.114724477777777</v>
      </c>
      <c r="O3" s="37">
        <f>(MAX(O6:O7)*0.85)</f>
        <v>8.1449836432159653E-2</v>
      </c>
      <c r="P3" s="38">
        <f>(O3*N3)</f>
        <v>1.1496420000000001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(B11*J3)</f>
        <v>4.7835434462400004</v>
      </c>
      <c r="K4" s="4">
        <f>(J4/D11-1)</f>
        <v>1.8266287735254809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38">
        <f>(D5/B5)</f>
        <v>6.3062636964164656E-2</v>
      </c>
      <c r="D5" s="38">
        <v>4</v>
      </c>
      <c r="E5" t="s">
        <v>82</v>
      </c>
      <c r="N5" t="s">
        <v>29</v>
      </c>
      <c r="O5" t="s">
        <v>1</v>
      </c>
      <c r="P5" t="s">
        <v>2</v>
      </c>
      <c r="R5" s="24">
        <f>(B5)</f>
        <v>63.429000000000002</v>
      </c>
      <c r="S5" s="38">
        <f>(C5)</f>
        <v>6.3062636964164656E-2</v>
      </c>
      <c r="T5" s="38">
        <f>(R5*S5)</f>
        <v>4</v>
      </c>
    </row>
    <row r="6" spans="2:20">
      <c r="B6" s="19">
        <v>-12.25728155</v>
      </c>
      <c r="C6" s="38">
        <f>(D6/B6)</f>
        <v>8.0228066556894906E-2</v>
      </c>
      <c r="D6" s="38">
        <v>-0.98337799999999997</v>
      </c>
      <c r="M6" t="s">
        <v>11</v>
      </c>
      <c r="N6" s="29">
        <f>(-B6)</f>
        <v>12.25728155</v>
      </c>
      <c r="O6" s="38">
        <f>(C6)</f>
        <v>8.0228066556894906E-2</v>
      </c>
      <c r="P6" s="38">
        <f>(O6*N6)</f>
        <v>0.98337799999999997</v>
      </c>
      <c r="Q6" t="s">
        <v>12</v>
      </c>
      <c r="R6" s="24">
        <f>B6</f>
        <v>-12.25728155</v>
      </c>
      <c r="S6" s="38">
        <f>(C6)</f>
        <v>8.0228066556894906E-2</v>
      </c>
      <c r="T6" s="38">
        <f>D6</f>
        <v>-0.98337799999999997</v>
      </c>
    </row>
    <row r="7" spans="2:20">
      <c r="B7" s="19">
        <v>-12.70325203</v>
      </c>
      <c r="C7" s="38">
        <f>(D7/B7)</f>
        <v>9.5823336979011353E-2</v>
      </c>
      <c r="D7" s="38">
        <v>-1.217268</v>
      </c>
      <c r="N7" s="29">
        <f>(-B7)</f>
        <v>12.70325203</v>
      </c>
      <c r="O7" s="38">
        <f>(C7)</f>
        <v>9.5823336979011353E-2</v>
      </c>
      <c r="P7" s="38">
        <f>(O7*N7)</f>
        <v>1.217268</v>
      </c>
      <c r="Q7" t="s">
        <v>12</v>
      </c>
      <c r="R7" s="24">
        <f>B7</f>
        <v>-12.70325203</v>
      </c>
      <c r="S7" s="38">
        <f>(C7)</f>
        <v>9.5823336979011353E-2</v>
      </c>
      <c r="T7" s="38">
        <f>D7</f>
        <v>-1.217268</v>
      </c>
    </row>
    <row r="8" spans="2:20">
      <c r="B8" s="19">
        <v>-12.62063846</v>
      </c>
      <c r="C8" s="38">
        <f>(D8/B8)</f>
        <v>0.13122973178014641</v>
      </c>
      <c r="D8" s="38">
        <v>-1.6562030000000001</v>
      </c>
      <c r="N8" s="29">
        <f>($B$5+$R$8)/5</f>
        <v>13.16910406</v>
      </c>
      <c r="O8" s="38">
        <f>($C$5*Params!K10)</f>
        <v>0.13873780132116226</v>
      </c>
      <c r="P8" s="38">
        <f>(O8*N8)</f>
        <v>1.8270525426539914</v>
      </c>
      <c r="R8" s="24">
        <f>B8+B9</f>
        <v>2.4165203000000002</v>
      </c>
      <c r="S8" s="38">
        <f>(C8)</f>
        <v>0.13122973178014641</v>
      </c>
      <c r="T8" s="38">
        <f>D8+D9</f>
        <v>-0.10704000000000002</v>
      </c>
    </row>
    <row r="9" spans="2:20">
      <c r="B9" s="19">
        <v>15.037158760000001</v>
      </c>
      <c r="C9" s="38">
        <f>(D9/B9)</f>
        <v>0.103022321219411</v>
      </c>
      <c r="D9" s="38">
        <v>1.5491630000000001</v>
      </c>
      <c r="N9" s="29">
        <f>($B$5+$R$8)/5</f>
        <v>13.16910406</v>
      </c>
      <c r="O9" s="38">
        <f>($C$5*Params!K11)</f>
        <v>0.25225054785665862</v>
      </c>
      <c r="P9" s="38">
        <f>(O9*N9)</f>
        <v>3.3219137139163477</v>
      </c>
      <c r="R9" s="24"/>
      <c r="S9" s="38"/>
      <c r="T9" s="38"/>
    </row>
    <row r="10" spans="2:20">
      <c r="C10" s="38"/>
      <c r="D10" s="38"/>
      <c r="F10" t="s">
        <v>9</v>
      </c>
      <c r="G10" s="38">
        <f>(D11/B11)</f>
        <v>4.1392064319105151E-2</v>
      </c>
      <c r="O10" s="38"/>
      <c r="P10" s="38"/>
      <c r="R10" s="24"/>
      <c r="S10" s="38"/>
      <c r="T10" s="38"/>
    </row>
    <row r="11" spans="2:20">
      <c r="B11" s="19">
        <f>(SUM(B5:B10))</f>
        <v>40.884986720000001</v>
      </c>
      <c r="C11" s="38"/>
      <c r="D11" s="38">
        <f>(SUM(D5:D10))</f>
        <v>1.6923139999999999</v>
      </c>
      <c r="O11" s="38"/>
      <c r="P11" s="38">
        <f>(SUM(P6:P9))</f>
        <v>7.3496122565703388</v>
      </c>
      <c r="R11" s="24"/>
      <c r="S11" s="38"/>
      <c r="T11" s="38"/>
    </row>
    <row r="12" spans="2:20">
      <c r="R12" s="24"/>
      <c r="S12" s="38"/>
      <c r="T12" s="38"/>
    </row>
    <row r="13" spans="2:20">
      <c r="R13" s="24"/>
      <c r="S13" s="38"/>
      <c r="T13" s="38"/>
    </row>
    <row r="14" spans="2:20">
      <c r="R14" s="24"/>
      <c r="S14" s="38"/>
      <c r="T14" s="38"/>
    </row>
    <row r="15" spans="2:20">
      <c r="R15" s="24"/>
      <c r="S15" s="38"/>
      <c r="T15" s="38"/>
    </row>
    <row r="16" spans="2:20">
      <c r="R16" s="24"/>
      <c r="S16" s="38"/>
      <c r="T16" s="38"/>
    </row>
    <row r="17" spans="18:22">
      <c r="R17" s="24"/>
      <c r="S17" s="38"/>
      <c r="T17" s="38"/>
    </row>
    <row r="18" spans="18:22">
      <c r="R18" s="24"/>
      <c r="S18" s="38"/>
      <c r="T18" s="38"/>
    </row>
    <row r="19" spans="18:22">
      <c r="R19" s="24"/>
      <c r="S19" s="38"/>
      <c r="T19" s="38"/>
    </row>
    <row r="20" spans="18:22">
      <c r="R20" s="24"/>
      <c r="S20" s="38"/>
      <c r="T20" s="38"/>
    </row>
    <row r="21" spans="18:22">
      <c r="R21" s="24"/>
      <c r="S21" s="38"/>
      <c r="T21" s="38"/>
      <c r="V21" s="39"/>
    </row>
    <row r="23" spans="18:22">
      <c r="S23" s="38"/>
      <c r="T23" s="38"/>
    </row>
    <row r="24" spans="18:22">
      <c r="S24" s="38"/>
      <c r="T24" s="38"/>
    </row>
    <row r="25" spans="18:22">
      <c r="S25" s="38"/>
      <c r="T25" s="38"/>
    </row>
    <row r="26" spans="18:22">
      <c r="S26" s="38"/>
      <c r="T26" s="38"/>
    </row>
    <row r="27" spans="18:22">
      <c r="S27" s="38"/>
      <c r="T27" s="38"/>
    </row>
    <row r="28" spans="18:22">
      <c r="S28" s="38"/>
      <c r="T28" s="38"/>
    </row>
    <row r="29" spans="18:22">
      <c r="S29" s="38"/>
      <c r="T29" s="38"/>
    </row>
    <row r="30" spans="18:22">
      <c r="S30" s="38"/>
      <c r="T30" s="38"/>
    </row>
    <row r="31" spans="18:22">
      <c r="S31" s="38"/>
      <c r="T31" s="38"/>
    </row>
    <row r="32" spans="18:22">
      <c r="S32" s="38"/>
      <c r="T32" s="38"/>
    </row>
    <row r="33" spans="18:23">
      <c r="S33" s="38"/>
      <c r="T33" s="38"/>
    </row>
    <row r="34" spans="18:23">
      <c r="S34" s="38"/>
      <c r="T34" s="38"/>
    </row>
    <row r="35" spans="18:23">
      <c r="R35" s="24">
        <f>(SUM(R5:R34))</f>
        <v>40.884986720000001</v>
      </c>
      <c r="S35" s="38"/>
      <c r="T35" s="38">
        <f>(SUM(T5:T34))</f>
        <v>1.6923139999999999</v>
      </c>
      <c r="V35" t="s">
        <v>9</v>
      </c>
      <c r="W35" s="38">
        <f>(T35/R35)</f>
        <v>4.1392064319105151E-2</v>
      </c>
    </row>
  </sheetData>
  <conditionalFormatting sqref="C5 G10">
    <cfRule type="cellIs" dxfId="45" priority="23" operator="lessThan">
      <formula>$J$3</formula>
    </cfRule>
    <cfRule type="cellIs" dxfId="44" priority="24" operator="greaterThan">
      <formula>$J$3</formula>
    </cfRule>
  </conditionalFormatting>
  <conditionalFormatting sqref="O8:O9">
    <cfRule type="cellIs" dxfId="43" priority="19" operator="lessThan">
      <formula>$J$3</formula>
    </cfRule>
    <cfRule type="cellIs" dxfId="42" priority="20" operator="greaterThan">
      <formula>$J$3</formula>
    </cfRule>
  </conditionalFormatting>
  <conditionalFormatting sqref="O3">
    <cfRule type="cellIs" dxfId="41" priority="17" operator="greaterThan">
      <formula>$J$3</formula>
    </cfRule>
    <cfRule type="cellIs" dxfId="40" priority="18" operator="lessThan">
      <formula>$J$3</formula>
    </cfRule>
  </conditionalFormatting>
  <conditionalFormatting sqref="C9">
    <cfRule type="cellIs" dxfId="39" priority="15" operator="lessThan">
      <formula>$J$3</formula>
    </cfRule>
    <cfRule type="cellIs" dxfId="38" priority="16" operator="greaterThan">
      <formula>$J$3</formula>
    </cfRule>
  </conditionalFormatting>
  <conditionalFormatting sqref="S5 S8">
    <cfRule type="cellIs" dxfId="37" priority="13" operator="lessThan">
      <formula>$J$3</formula>
    </cfRule>
    <cfRule type="cellIs" dxfId="36" priority="14" operator="greaterThan">
      <formula>$J$3</formula>
    </cfRule>
  </conditionalFormatting>
  <conditionalFormatting sqref="W35">
    <cfRule type="cellIs" dxfId="35" priority="1" operator="lessThan">
      <formula>$J$3</formula>
    </cfRule>
    <cfRule type="cellIs" dxfId="34" priority="2" operator="greaterThan">
      <formula>$J$3</formula>
    </cfRule>
    <cfRule type="cellIs" dxfId="33" priority="3" operator="lessThan">
      <formula>$J$3</formula>
    </cfRule>
    <cfRule type="cellIs" dxfId="32" priority="4" operator="greaterThan">
      <formula>$J$3</formula>
    </cfRule>
    <cfRule type="cellIs" dxfId="31" priority="5" operator="lessThan">
      <formula>$J$3</formula>
    </cfRule>
    <cfRule type="cellIs" dxfId="30" priority="6" operator="greaterThan">
      <formula>$J$3</formula>
    </cfRule>
    <cfRule type="cellIs" dxfId="29" priority="7" operator="lessThan">
      <formula>$J$3</formula>
    </cfRule>
    <cfRule type="cellIs" dxfId="28" priority="8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Y41" sqref="Y41"/>
    </sheetView>
  </sheetViews>
  <sheetFormatPr baseColWidth="10" defaultColWidth="9.140625" defaultRowHeight="15"/>
  <cols>
    <col min="2" max="2" width="8.57031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0.9095142414598808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2.6597097770717171</v>
      </c>
      <c r="K4" s="4">
        <f>(J4/D10-1)</f>
        <v>-0.11343007430942764</v>
      </c>
    </row>
    <row r="5" spans="2:16">
      <c r="B5" s="29">
        <v>2.9243190000000001</v>
      </c>
      <c r="C5" s="38">
        <f>(D5/B5)</f>
        <v>1.0258798715188049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B6" s="24"/>
      <c r="C6" s="38"/>
      <c r="D6" s="38"/>
      <c r="M6" t="s">
        <v>11</v>
      </c>
      <c r="N6" s="24">
        <f>($B$5/5)</f>
        <v>0.58486380000000004</v>
      </c>
      <c r="O6" s="38">
        <f>($C$5*Params!K8)</f>
        <v>1.3336438329744464</v>
      </c>
      <c r="P6" s="38">
        <f>(O6*N6)</f>
        <v>0.78000000000000014</v>
      </c>
    </row>
    <row r="7" spans="2:16">
      <c r="B7" s="24"/>
      <c r="C7" s="38"/>
      <c r="D7" s="38"/>
      <c r="N7" s="24">
        <f>($B$5/5)</f>
        <v>0.58486380000000004</v>
      </c>
      <c r="O7" s="38">
        <f>($C$5*Params!K9)</f>
        <v>1.641407794430088</v>
      </c>
      <c r="P7" s="38">
        <f>(O7*N7)</f>
        <v>0.96000000000000019</v>
      </c>
    </row>
    <row r="8" spans="2:16">
      <c r="B8" s="24"/>
      <c r="C8" s="38"/>
      <c r="D8" s="38"/>
      <c r="N8" s="24">
        <f>($B$5/5)</f>
        <v>0.58486380000000004</v>
      </c>
      <c r="O8" s="38">
        <f>($C$5*Params!K10)</f>
        <v>2.2569357173413711</v>
      </c>
      <c r="P8" s="38">
        <f>(O8*N8)</f>
        <v>1.3200000000000003</v>
      </c>
    </row>
    <row r="9" spans="2:16">
      <c r="B9" s="24"/>
      <c r="C9" s="38"/>
      <c r="D9" s="38"/>
      <c r="F9" t="s">
        <v>9</v>
      </c>
      <c r="G9" s="38">
        <f>(D10/B10)</f>
        <v>1.0258798715188049</v>
      </c>
      <c r="H9" s="38"/>
      <c r="N9" s="24">
        <f>($B$5/5)</f>
        <v>0.58486380000000004</v>
      </c>
      <c r="O9" s="38">
        <f>($C$5*Params!K11)</f>
        <v>4.1035194860752195</v>
      </c>
      <c r="P9" s="38">
        <f>(O9*N9)</f>
        <v>2.4000000000000004</v>
      </c>
    </row>
    <row r="10" spans="2:16">
      <c r="B10" s="29">
        <f>(SUM(B5:B9))</f>
        <v>2.9243190000000001</v>
      </c>
      <c r="C10" s="38"/>
      <c r="D10" s="38">
        <f>(SUM(D5:D9))</f>
        <v>3</v>
      </c>
      <c r="O10" s="38"/>
      <c r="P10" s="38"/>
    </row>
    <row r="11" spans="2:16">
      <c r="C11" s="38"/>
      <c r="D11" s="38"/>
      <c r="O11" s="38"/>
      <c r="P11" s="38">
        <f>(SUM(P6:P9))</f>
        <v>5.4600000000000009</v>
      </c>
    </row>
    <row r="12" spans="2:16">
      <c r="O12" s="38"/>
      <c r="P12" s="38"/>
    </row>
  </sheetData>
  <conditionalFormatting sqref="C5">
    <cfRule type="cellIs" dxfId="27" priority="5" operator="lessThan">
      <formula>$J$3</formula>
    </cfRule>
    <cfRule type="cellIs" dxfId="26" priority="6" operator="greaterThan">
      <formula>$J$3</formula>
    </cfRule>
  </conditionalFormatting>
  <conditionalFormatting sqref="G9">
    <cfRule type="cellIs" dxfId="25" priority="3" operator="lessThan">
      <formula>$J$3</formula>
    </cfRule>
    <cfRule type="cellIs" dxfId="24" priority="4" operator="greaterThan">
      <formula>$J$3</formula>
    </cfRule>
  </conditionalFormatting>
  <conditionalFormatting sqref="O6:O9">
    <cfRule type="cellIs" dxfId="23" priority="1" operator="lessThan">
      <formula>$J$3</formula>
    </cfRule>
    <cfRule type="cellIs" dxfId="22" priority="2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1"/>
  <sheetViews>
    <sheetView tabSelected="1"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2.9545242860083629E-3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1.7709418570334126</v>
      </c>
      <c r="K4" s="4">
        <f>(J4/D10-1)</f>
        <v>-0.40968604765552918</v>
      </c>
    </row>
    <row r="5" spans="2:16">
      <c r="B5">
        <v>599.4</v>
      </c>
      <c r="C5" s="35">
        <f>(D5/B5)</f>
        <v>5.005005005005005E-3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C6" s="38"/>
      <c r="D6" s="38"/>
      <c r="M6" t="s">
        <v>11</v>
      </c>
      <c r="N6">
        <f>($B$5/5)</f>
        <v>119.88</v>
      </c>
      <c r="O6" s="35">
        <f>($C$5*Params!K8)</f>
        <v>6.5065065065065065E-3</v>
      </c>
      <c r="P6" s="38">
        <f>(O6*N6)</f>
        <v>0.77999999999999992</v>
      </c>
    </row>
    <row r="7" spans="2:16">
      <c r="C7" s="38"/>
      <c r="D7" s="38"/>
      <c r="N7">
        <f>($B$5/5)</f>
        <v>119.88</v>
      </c>
      <c r="O7" s="35">
        <f>($C$5*Params!K9)</f>
        <v>8.0080080080080079E-3</v>
      </c>
      <c r="P7" s="38">
        <f>(O7*N7)</f>
        <v>0.96</v>
      </c>
    </row>
    <row r="8" spans="2:16">
      <c r="C8" s="38"/>
      <c r="D8" s="38"/>
      <c r="N8">
        <f>($B$5/5)</f>
        <v>119.88</v>
      </c>
      <c r="O8" s="35">
        <f>($C$5*Params!K10)</f>
        <v>1.1011011011011013E-2</v>
      </c>
      <c r="P8" s="38">
        <f>(O8*N8)</f>
        <v>1.32</v>
      </c>
    </row>
    <row r="9" spans="2:16">
      <c r="C9" s="38"/>
      <c r="D9" s="38"/>
      <c r="F9" t="s">
        <v>9</v>
      </c>
      <c r="G9" s="38">
        <f>(D10/B10)</f>
        <v>5.005005005005005E-3</v>
      </c>
      <c r="N9">
        <f>($B$5/5)</f>
        <v>119.88</v>
      </c>
      <c r="O9" s="35">
        <f>($C$5*Params!K11)</f>
        <v>2.002002002002002E-2</v>
      </c>
      <c r="P9" s="38">
        <f>(O9*N9)</f>
        <v>2.4</v>
      </c>
    </row>
    <row r="10" spans="2:16">
      <c r="B10">
        <f>(SUM(B5:B9))</f>
        <v>599.4</v>
      </c>
      <c r="C10" s="38"/>
      <c r="D10" s="38">
        <f>(SUM(D5:D9))</f>
        <v>3</v>
      </c>
      <c r="O10" s="38"/>
      <c r="P10" s="38"/>
    </row>
    <row r="11" spans="2:16">
      <c r="O11" s="38"/>
      <c r="P11" s="38">
        <f>(SUM(P6:P9))</f>
        <v>5.4599999999999991</v>
      </c>
    </row>
  </sheetData>
  <conditionalFormatting sqref="C5 G9 O6:O9">
    <cfRule type="cellIs" dxfId="21" priority="5" operator="lessThan">
      <formula>$J$3</formula>
    </cfRule>
    <cfRule type="cellIs" dxfId="20" priority="6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L27" sqref="L27"/>
    </sheetView>
  </sheetViews>
  <sheetFormatPr baseColWidth="10" defaultColWidth="9.140625" defaultRowHeight="15"/>
  <sheetData>
    <row r="8" spans="6:16">
      <c r="F8">
        <v>0.06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4</v>
      </c>
      <c r="L11">
        <v>0.2</v>
      </c>
      <c r="N11">
        <f>(L11*(K11-1))</f>
        <v>0.60000000000000009</v>
      </c>
    </row>
    <row r="12" spans="6:16">
      <c r="K12">
        <v>8</v>
      </c>
      <c r="L12">
        <v>0.2</v>
      </c>
      <c r="N12">
        <f>(L12*(K12-1))</f>
        <v>1.4000000000000001</v>
      </c>
    </row>
    <row r="13" spans="6:16">
      <c r="N13">
        <f>(SUM(N8:N12))</f>
        <v>2.4200000000000004</v>
      </c>
      <c r="O13">
        <f>(4/5+N13)</f>
        <v>3.2200000000000006</v>
      </c>
      <c r="P13">
        <f>(O13)</f>
        <v>3.2200000000000006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8">
        <v>5.1356796627384307E-3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(B9*J3)</f>
        <v>3.1244447932168067E-2</v>
      </c>
      <c r="K4" s="4">
        <f>(J4/D9-1)</f>
        <v>-0.99891766114970781</v>
      </c>
    </row>
    <row r="5" spans="2:16">
      <c r="B5" s="19">
        <v>1.5469999999999999</v>
      </c>
      <c r="C5" s="38">
        <v>10</v>
      </c>
      <c r="D5" s="38">
        <f>(B5*C5)</f>
        <v>15.469999999999999</v>
      </c>
      <c r="N5" t="s">
        <v>1</v>
      </c>
      <c r="O5" t="s">
        <v>29</v>
      </c>
      <c r="P5" t="s">
        <v>2</v>
      </c>
    </row>
    <row r="6" spans="2:16">
      <c r="B6" s="19">
        <v>2.5367999999999999</v>
      </c>
      <c r="C6" s="38">
        <v>3.9409999999999998</v>
      </c>
      <c r="D6" s="38">
        <f>(B6*C6)</f>
        <v>9.9975287999999995</v>
      </c>
      <c r="M6" t="s">
        <v>4</v>
      </c>
      <c r="N6" s="38">
        <f>(MIN(C5:C8)*2)</f>
        <v>3.4</v>
      </c>
      <c r="O6">
        <f>(INDEX(B5:B8,MATCH(N6/2,C5:C8,0)))</f>
        <v>2</v>
      </c>
      <c r="P6" s="38">
        <f>(N6*O6/2)</f>
        <v>3.4</v>
      </c>
    </row>
    <row r="7" spans="2:16">
      <c r="B7" s="19">
        <v>2</v>
      </c>
      <c r="C7" s="38">
        <v>1.7</v>
      </c>
      <c r="D7" s="38">
        <f>(B7*C7)</f>
        <v>3.4</v>
      </c>
    </row>
    <row r="8" spans="2:16">
      <c r="F8" t="s">
        <v>9</v>
      </c>
      <c r="G8" s="38">
        <f>(SUM(D5:D8)/SUM(B5:B8))</f>
        <v>4.744983201288667</v>
      </c>
    </row>
    <row r="9" spans="2:16">
      <c r="B9" s="19">
        <f>(SUM(B5:B8))</f>
        <v>6.0838000000000001</v>
      </c>
      <c r="D9" s="38">
        <f>(SUM(D5:D8))</f>
        <v>28.867528799999995</v>
      </c>
    </row>
    <row r="10" spans="2:16">
      <c r="D10" s="38"/>
      <c r="N10" t="s">
        <v>29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8">
        <f>($C$5*Params!K8)</f>
        <v>13</v>
      </c>
      <c r="P11" s="38">
        <f>(O11*N11)</f>
        <v>4.0221999999999998</v>
      </c>
    </row>
    <row r="12" spans="2:16">
      <c r="N12">
        <f>($B$5/5)</f>
        <v>0.30940000000000001</v>
      </c>
      <c r="O12" s="38">
        <f>($C$5*Params!K9)</f>
        <v>16</v>
      </c>
      <c r="P12" s="38">
        <f>(O12*N12)</f>
        <v>4.9504000000000001</v>
      </c>
    </row>
    <row r="13" spans="2:16">
      <c r="N13">
        <f>($B$5/5)</f>
        <v>0.30940000000000001</v>
      </c>
      <c r="O13" s="38">
        <f>($C$5*Params!K10)</f>
        <v>22</v>
      </c>
      <c r="P13" s="38">
        <f>(O13*N13)</f>
        <v>6.8068</v>
      </c>
    </row>
    <row r="14" spans="2:16">
      <c r="N14">
        <f>($B$5/5)</f>
        <v>0.30940000000000001</v>
      </c>
      <c r="O14" s="38">
        <f>($C$5*Params!K11)</f>
        <v>40</v>
      </c>
      <c r="P14" s="38">
        <f>(O14*N14)</f>
        <v>12.376000000000001</v>
      </c>
    </row>
    <row r="17" spans="13:16">
      <c r="P17" s="38">
        <f>(SUM(P11:P14))</f>
        <v>28.1554</v>
      </c>
    </row>
    <row r="19" spans="13:16">
      <c r="N19" t="s">
        <v>29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8">
        <f>($C$6*Params!K8)</f>
        <v>5.1232999999999995</v>
      </c>
      <c r="P20" s="38">
        <f>(O20*N20)</f>
        <v>2.5993574879999999</v>
      </c>
    </row>
    <row r="21" spans="13:16">
      <c r="N21">
        <f>($B$6/5)</f>
        <v>0.50736000000000003</v>
      </c>
      <c r="O21" s="38">
        <f>($C$6*Params!K9)</f>
        <v>6.3056000000000001</v>
      </c>
      <c r="P21" s="38">
        <f>(O21*N21)</f>
        <v>3.1992092160000003</v>
      </c>
    </row>
    <row r="22" spans="13:16">
      <c r="N22">
        <f>($B$6/5)</f>
        <v>0.50736000000000003</v>
      </c>
      <c r="O22" s="38">
        <f>($C$6*Params!K10)</f>
        <v>8.6701999999999995</v>
      </c>
      <c r="P22" s="38">
        <f>(O22*N22)</f>
        <v>4.3989126719999998</v>
      </c>
    </row>
    <row r="23" spans="13:16">
      <c r="N23">
        <f>($B$6/5)</f>
        <v>0.50736000000000003</v>
      </c>
      <c r="O23" s="38">
        <f>($C$6*Params!K11)</f>
        <v>15.763999999999999</v>
      </c>
      <c r="P23" s="38">
        <f>(O23*N23)</f>
        <v>7.9980230400000005</v>
      </c>
    </row>
    <row r="26" spans="13:16">
      <c r="P26" s="38">
        <f>(SUM(P20:P23))</f>
        <v>18.195502416</v>
      </c>
    </row>
    <row r="28" spans="13:16">
      <c r="N28" t="s">
        <v>29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8">
        <f>($C$7*Params!K8)</f>
        <v>2.21</v>
      </c>
      <c r="P29" s="38">
        <f>(O29*N29)</f>
        <v>0.88400000000000001</v>
      </c>
    </row>
    <row r="30" spans="13:16">
      <c r="N30">
        <f>($B$7/5)</f>
        <v>0.4</v>
      </c>
      <c r="O30" s="38">
        <f>($C$7*Params!K9)</f>
        <v>2.72</v>
      </c>
      <c r="P30" s="38">
        <f>(O30*N30)</f>
        <v>1.0880000000000001</v>
      </c>
    </row>
    <row r="31" spans="13:16">
      <c r="N31">
        <f>($B$7/5)</f>
        <v>0.4</v>
      </c>
      <c r="O31" s="38">
        <f>($C$7*Params!K10)</f>
        <v>3.74</v>
      </c>
      <c r="P31" s="38">
        <f>(O31*N31)</f>
        <v>1.4960000000000002</v>
      </c>
    </row>
    <row r="32" spans="13:16">
      <c r="N32">
        <f>($B$7/5)</f>
        <v>0.4</v>
      </c>
      <c r="O32" s="38">
        <f>($C$7*Params!K11)</f>
        <v>6.8</v>
      </c>
      <c r="P32" s="38">
        <f>(O32*N32)</f>
        <v>2.72</v>
      </c>
    </row>
    <row r="35" spans="16:16">
      <c r="P35" s="38">
        <f>(SUM(P29:P32))</f>
        <v>6.1880000000000006</v>
      </c>
    </row>
  </sheetData>
  <conditionalFormatting sqref="C5:C7">
    <cfRule type="cellIs" dxfId="247" priority="9" operator="lessThan">
      <formula>$J$3</formula>
    </cfRule>
    <cfRule type="cellIs" dxfId="246" priority="10" operator="greaterThan">
      <formula>$J$3</formula>
    </cfRule>
  </conditionalFormatting>
  <conditionalFormatting sqref="O11:O14">
    <cfRule type="cellIs" dxfId="245" priority="7" operator="lessThan">
      <formula>$J$3</formula>
    </cfRule>
    <cfRule type="cellIs" dxfId="244" priority="8" operator="greaterThan">
      <formula>$J$3</formula>
    </cfRule>
  </conditionalFormatting>
  <conditionalFormatting sqref="O20:O23">
    <cfRule type="cellIs" dxfId="243" priority="5" operator="lessThan">
      <formula>$J$3</formula>
    </cfRule>
    <cfRule type="cellIs" dxfId="242" priority="6" operator="greaterThan">
      <formula>$J$3</formula>
    </cfRule>
  </conditionalFormatting>
  <conditionalFormatting sqref="O29:O32">
    <cfRule type="cellIs" dxfId="241" priority="3" operator="lessThan">
      <formula>$J$3</formula>
    </cfRule>
    <cfRule type="cellIs" dxfId="240" priority="4" operator="greaterThan">
      <formula>$J$3</formula>
    </cfRule>
  </conditionalFormatting>
  <conditionalFormatting sqref="N6">
    <cfRule type="cellIs" dxfId="239" priority="1" operator="lessThan">
      <formula>$J$3</formula>
    </cfRule>
    <cfRule type="cellIs" dxfId="238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P74"/>
  <sheetViews>
    <sheetView topLeftCell="A10" workbookViewId="0">
      <selection activeCell="O46" sqref="O46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bestFit="1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30</v>
      </c>
      <c r="H2">
        <v>574</v>
      </c>
    </row>
    <row r="3" spans="2:14">
      <c r="B3" s="5" t="s">
        <v>31</v>
      </c>
      <c r="C3" s="6"/>
      <c r="D3" s="6"/>
      <c r="E3" s="6"/>
      <c r="F3" s="7"/>
      <c r="I3" t="s">
        <v>32</v>
      </c>
      <c r="J3" s="28">
        <v>1.526270031343472E-3</v>
      </c>
    </row>
    <row r="4" spans="2:14">
      <c r="B4" s="8"/>
      <c r="C4" t="s">
        <v>6</v>
      </c>
      <c r="D4" t="s">
        <v>33</v>
      </c>
      <c r="E4" t="s">
        <v>34</v>
      </c>
      <c r="F4" s="9" t="s">
        <v>35</v>
      </c>
      <c r="I4" t="s">
        <v>36</v>
      </c>
      <c r="J4">
        <v>6.1439999999999997E-4</v>
      </c>
      <c r="K4" t="s">
        <v>37</v>
      </c>
      <c r="N4" t="s">
        <v>38</v>
      </c>
    </row>
    <row r="5" spans="2:14">
      <c r="B5" s="8" t="s">
        <v>39</v>
      </c>
      <c r="C5" s="40">
        <v>135</v>
      </c>
      <c r="D5" s="38">
        <v>3.5</v>
      </c>
      <c r="E5" s="39">
        <f t="shared" ref="E5:E29" si="0">C5+D5</f>
        <v>138.5</v>
      </c>
      <c r="F5" s="9" t="s">
        <v>40</v>
      </c>
      <c r="I5" t="s">
        <v>41</v>
      </c>
      <c r="J5">
        <v>2.1503999999999998E-3</v>
      </c>
      <c r="K5" t="s">
        <v>37</v>
      </c>
      <c r="N5">
        <v>0.85</v>
      </c>
    </row>
    <row r="6" spans="2:14">
      <c r="B6" s="8" t="s">
        <v>42</v>
      </c>
      <c r="C6" s="40">
        <v>18</v>
      </c>
      <c r="D6" s="38">
        <v>3.5</v>
      </c>
      <c r="E6" s="39">
        <f t="shared" si="0"/>
        <v>21.5</v>
      </c>
      <c r="F6" s="9" t="s">
        <v>40</v>
      </c>
      <c r="I6" t="s">
        <v>43</v>
      </c>
      <c r="J6">
        <v>1.4335999999999999E-3</v>
      </c>
      <c r="K6" t="s">
        <v>37</v>
      </c>
    </row>
    <row r="7" spans="2:14">
      <c r="B7" s="8" t="s">
        <v>44</v>
      </c>
      <c r="C7" s="38">
        <v>18</v>
      </c>
      <c r="D7" s="38">
        <v>3.5</v>
      </c>
      <c r="E7" s="39">
        <f t="shared" si="0"/>
        <v>21.5</v>
      </c>
      <c r="F7" s="9" t="s">
        <v>40</v>
      </c>
      <c r="I7" t="s">
        <v>45</v>
      </c>
      <c r="J7">
        <v>1.7408E-3</v>
      </c>
      <c r="K7" t="s">
        <v>37</v>
      </c>
    </row>
    <row r="8" spans="2:14">
      <c r="B8" s="8" t="s">
        <v>46</v>
      </c>
      <c r="C8" s="38">
        <v>55</v>
      </c>
      <c r="D8" s="38">
        <v>3.5</v>
      </c>
      <c r="E8" s="39">
        <f t="shared" si="0"/>
        <v>58.5</v>
      </c>
      <c r="F8" s="9" t="s">
        <v>40</v>
      </c>
    </row>
    <row r="9" spans="2:14">
      <c r="B9" s="8" t="s">
        <v>46</v>
      </c>
      <c r="C9" s="38">
        <v>-134.99</v>
      </c>
      <c r="D9" s="38">
        <v>0.01</v>
      </c>
      <c r="E9" s="39">
        <f t="shared" si="0"/>
        <v>-134.98000000000002</v>
      </c>
      <c r="F9" s="9" t="s">
        <v>47</v>
      </c>
    </row>
    <row r="10" spans="2:14">
      <c r="B10" s="8" t="s">
        <v>46</v>
      </c>
      <c r="C10" s="38">
        <v>125</v>
      </c>
      <c r="D10" s="38">
        <f>0.002*151</f>
        <v>0.30199999999999999</v>
      </c>
      <c r="E10" s="39">
        <f t="shared" si="0"/>
        <v>125.30200000000001</v>
      </c>
      <c r="F10" s="9" t="s">
        <v>40</v>
      </c>
    </row>
    <row r="11" spans="2:14">
      <c r="B11" s="8" t="s">
        <v>46</v>
      </c>
      <c r="C11" s="38">
        <v>-144.96</v>
      </c>
      <c r="D11" s="38">
        <v>0.01</v>
      </c>
      <c r="E11" s="39">
        <f t="shared" si="0"/>
        <v>-144.95000000000002</v>
      </c>
      <c r="F11" s="9" t="s">
        <v>47</v>
      </c>
    </row>
    <row r="12" spans="2:14">
      <c r="B12" s="8" t="s">
        <v>46</v>
      </c>
      <c r="C12" s="38">
        <v>130</v>
      </c>
      <c r="D12" s="38">
        <f>0.002*151</f>
        <v>0.30199999999999999</v>
      </c>
      <c r="E12" s="39">
        <f t="shared" si="0"/>
        <v>130.30199999999999</v>
      </c>
      <c r="F12" s="9" t="s">
        <v>40</v>
      </c>
      <c r="I12" t="s">
        <v>48</v>
      </c>
      <c r="J12" s="38">
        <f>(SUM(D5:E8))</f>
        <v>254</v>
      </c>
    </row>
    <row r="13" spans="2:14">
      <c r="B13" s="8" t="s">
        <v>46</v>
      </c>
      <c r="C13" s="38">
        <v>-144.94999999999999</v>
      </c>
      <c r="D13" s="38">
        <v>0.01</v>
      </c>
      <c r="E13" s="39">
        <f t="shared" si="0"/>
        <v>-144.94</v>
      </c>
      <c r="F13" s="9" t="s">
        <v>47</v>
      </c>
      <c r="I13" t="s">
        <v>49</v>
      </c>
      <c r="J13" s="38">
        <f>(SUM(K34:K42)-C74*J3+D74)</f>
        <v>5.5687736075489109</v>
      </c>
    </row>
    <row r="14" spans="2:14">
      <c r="B14" s="8" t="s">
        <v>46</v>
      </c>
      <c r="C14" s="38">
        <v>130</v>
      </c>
      <c r="D14" s="38">
        <f>0.01</f>
        <v>0.01</v>
      </c>
      <c r="E14" s="39">
        <f t="shared" si="0"/>
        <v>130.01</v>
      </c>
      <c r="F14" s="9" t="s">
        <v>40</v>
      </c>
      <c r="I14" t="s">
        <v>50</v>
      </c>
      <c r="J14" s="38">
        <f>(-SUM(E9:E30))</f>
        <v>-14.953999999999938</v>
      </c>
      <c r="K14" s="39">
        <f>(J14-M37-M38-M39-M41-L42)</f>
        <v>-46.353999999999935</v>
      </c>
    </row>
    <row r="15" spans="2:14">
      <c r="B15" s="8" t="s">
        <v>46</v>
      </c>
      <c r="C15" s="38">
        <v>-144.97999999999999</v>
      </c>
      <c r="D15" s="38">
        <v>0.01</v>
      </c>
      <c r="E15" s="39">
        <f t="shared" si="0"/>
        <v>-144.97</v>
      </c>
      <c r="F15" s="9" t="s">
        <v>47</v>
      </c>
      <c r="I15" t="s">
        <v>34</v>
      </c>
      <c r="J15" s="38">
        <f>(J13-J12+J14)</f>
        <v>-263.38522639245105</v>
      </c>
    </row>
    <row r="16" spans="2:14">
      <c r="B16" s="8" t="s">
        <v>46</v>
      </c>
      <c r="C16" s="38">
        <v>130</v>
      </c>
      <c r="D16" s="38">
        <f>0.01</f>
        <v>0.01</v>
      </c>
      <c r="E16" s="39">
        <f t="shared" si="0"/>
        <v>130.01</v>
      </c>
      <c r="F16" s="9" t="s">
        <v>40</v>
      </c>
      <c r="I16" t="s">
        <v>51</v>
      </c>
      <c r="J16" s="38">
        <f>(J15+M46)</f>
        <v>-183.99522639245103</v>
      </c>
    </row>
    <row r="17" spans="2:14">
      <c r="B17" s="8" t="s">
        <v>44</v>
      </c>
      <c r="C17" s="38">
        <v>19.73</v>
      </c>
      <c r="D17" s="38">
        <v>0.28000000000000003</v>
      </c>
      <c r="E17" s="39">
        <f t="shared" si="0"/>
        <v>20.010000000000002</v>
      </c>
      <c r="F17" s="9" t="s">
        <v>40</v>
      </c>
    </row>
    <row r="18" spans="2:14">
      <c r="B18" s="8" t="s">
        <v>44</v>
      </c>
      <c r="C18" s="38">
        <v>38</v>
      </c>
      <c r="D18" s="38">
        <v>0.01</v>
      </c>
      <c r="E18" s="39">
        <f t="shared" si="0"/>
        <v>38.01</v>
      </c>
      <c r="F18" s="9" t="s">
        <v>52</v>
      </c>
    </row>
    <row r="19" spans="2:14">
      <c r="B19" s="8" t="s">
        <v>44</v>
      </c>
      <c r="C19" s="38">
        <v>11.25</v>
      </c>
      <c r="D19" s="38">
        <v>0.01</v>
      </c>
      <c r="E19" s="39">
        <f t="shared" si="0"/>
        <v>11.26</v>
      </c>
      <c r="F19" s="9" t="s">
        <v>40</v>
      </c>
    </row>
    <row r="20" spans="2:14">
      <c r="B20" s="8" t="s">
        <v>44</v>
      </c>
      <c r="C20" s="38">
        <v>8.02</v>
      </c>
      <c r="D20" s="38">
        <v>0.01</v>
      </c>
      <c r="E20" s="39">
        <f t="shared" si="0"/>
        <v>8.0299999999999994</v>
      </c>
      <c r="F20" s="9" t="s">
        <v>40</v>
      </c>
    </row>
    <row r="21" spans="2:14">
      <c r="B21" s="8" t="s">
        <v>42</v>
      </c>
      <c r="C21" s="38">
        <v>6.01</v>
      </c>
      <c r="D21" s="38">
        <v>0</v>
      </c>
      <c r="E21" s="39">
        <f t="shared" si="0"/>
        <v>6.01</v>
      </c>
      <c r="F21" s="9" t="s">
        <v>40</v>
      </c>
    </row>
    <row r="22" spans="2:14">
      <c r="B22" s="8" t="s">
        <v>46</v>
      </c>
      <c r="C22" s="38">
        <v>-30.99</v>
      </c>
      <c r="D22" s="38">
        <v>0</v>
      </c>
      <c r="E22" s="39">
        <f t="shared" si="0"/>
        <v>-30.99</v>
      </c>
      <c r="F22" s="9" t="s">
        <v>47</v>
      </c>
    </row>
    <row r="23" spans="2:14">
      <c r="B23" s="8" t="s">
        <v>46</v>
      </c>
      <c r="C23" s="38">
        <v>27.01</v>
      </c>
      <c r="D23" s="38">
        <v>0</v>
      </c>
      <c r="E23" s="39">
        <f t="shared" si="0"/>
        <v>27.01</v>
      </c>
      <c r="F23" s="9" t="s">
        <v>40</v>
      </c>
    </row>
    <row r="24" spans="2:14">
      <c r="B24" s="8" t="s">
        <v>46</v>
      </c>
      <c r="C24" s="38">
        <v>-47.22</v>
      </c>
      <c r="D24" s="38">
        <v>0</v>
      </c>
      <c r="E24" s="39">
        <f t="shared" si="0"/>
        <v>-47.22</v>
      </c>
      <c r="F24" s="9" t="s">
        <v>47</v>
      </c>
    </row>
    <row r="25" spans="2:14">
      <c r="B25" s="8" t="s">
        <v>46</v>
      </c>
      <c r="C25" s="38">
        <v>35.020000000000003</v>
      </c>
      <c r="D25" s="38">
        <v>0</v>
      </c>
      <c r="E25" s="39">
        <f t="shared" si="0"/>
        <v>35.020000000000003</v>
      </c>
      <c r="F25" s="9" t="s">
        <v>40</v>
      </c>
    </row>
    <row r="26" spans="2:14">
      <c r="B26" s="8" t="s">
        <v>46</v>
      </c>
      <c r="C26" s="38">
        <v>-59.99</v>
      </c>
      <c r="D26" s="38">
        <v>0</v>
      </c>
      <c r="E26" s="39">
        <f t="shared" si="0"/>
        <v>-59.99</v>
      </c>
      <c r="F26" s="9" t="s">
        <v>47</v>
      </c>
    </row>
    <row r="27" spans="2:14">
      <c r="B27" s="8" t="s">
        <v>46</v>
      </c>
      <c r="C27" s="40">
        <v>30.05</v>
      </c>
      <c r="D27" s="38">
        <v>0</v>
      </c>
      <c r="E27" s="39">
        <f t="shared" si="0"/>
        <v>30.05</v>
      </c>
      <c r="F27" s="9" t="s">
        <v>40</v>
      </c>
    </row>
    <row r="28" spans="2:14">
      <c r="B28" s="8" t="s">
        <v>46</v>
      </c>
      <c r="C28" s="40">
        <v>36.01</v>
      </c>
      <c r="D28" s="38">
        <v>0</v>
      </c>
      <c r="E28" s="39">
        <f t="shared" si="0"/>
        <v>36.01</v>
      </c>
      <c r="F28" s="9" t="s">
        <v>40</v>
      </c>
    </row>
    <row r="29" spans="2:14">
      <c r="B29" s="8" t="s">
        <v>42</v>
      </c>
      <c r="C29" s="38">
        <v>-8.0500000000000007</v>
      </c>
      <c r="D29" s="38">
        <v>0</v>
      </c>
      <c r="E29" s="39">
        <f t="shared" si="0"/>
        <v>-8.0500000000000007</v>
      </c>
      <c r="F29" s="9" t="s">
        <v>47</v>
      </c>
    </row>
    <row r="30" spans="2:14">
      <c r="B30" s="10" t="s">
        <v>44</v>
      </c>
      <c r="C30" s="42">
        <v>4</v>
      </c>
      <c r="D30" s="43">
        <v>0.01</v>
      </c>
      <c r="E30" s="43">
        <f>(C30+D30)</f>
        <v>4.01</v>
      </c>
      <c r="F30" s="12" t="s">
        <v>40</v>
      </c>
    </row>
    <row r="32" spans="2:14">
      <c r="B32" s="5" t="s">
        <v>53</v>
      </c>
      <c r="C32" s="6"/>
      <c r="D32" s="6"/>
      <c r="E32" s="6"/>
      <c r="F32" s="6"/>
      <c r="G32" s="6"/>
      <c r="H32" s="6"/>
      <c r="I32" s="6"/>
      <c r="J32" s="6"/>
      <c r="K32" s="7"/>
      <c r="L32" t="s">
        <v>54</v>
      </c>
      <c r="M32" t="s">
        <v>55</v>
      </c>
      <c r="N32" t="s">
        <v>35</v>
      </c>
    </row>
    <row r="33" spans="2:16">
      <c r="B33" s="8"/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s="13" t="s">
        <v>61</v>
      </c>
      <c r="I33" t="s">
        <v>62</v>
      </c>
      <c r="J33" t="s">
        <v>5</v>
      </c>
      <c r="K33" s="9" t="s">
        <v>63</v>
      </c>
    </row>
    <row r="34" spans="2:16">
      <c r="B34" s="8" t="s">
        <v>39</v>
      </c>
      <c r="C34">
        <v>6.2539999999999996</v>
      </c>
      <c r="D34">
        <f>$H$2</f>
        <v>574</v>
      </c>
      <c r="E34">
        <f t="shared" ref="E34:E40" si="1">C34*D34</f>
        <v>3589.7959999999998</v>
      </c>
      <c r="F34" s="29">
        <f t="shared" ref="F34:F40" si="2">E34*$N$5</f>
        <v>3051.3265999999999</v>
      </c>
      <c r="G34" s="38">
        <v>3.5</v>
      </c>
      <c r="H34" s="30">
        <f>G50</f>
        <v>1.5615590400000001</v>
      </c>
      <c r="I34" s="39">
        <f t="shared" ref="I34:I41" si="3">((F34-H34*D34)*$J$3-G34)</f>
        <v>-0.21090073364605733</v>
      </c>
      <c r="J34">
        <v>1</v>
      </c>
      <c r="K34" s="44">
        <f t="shared" ref="K34:K40" si="4">I34*J34</f>
        <v>-0.21090073364605733</v>
      </c>
      <c r="L34" s="31">
        <v>26</v>
      </c>
      <c r="M34" s="31">
        <f t="shared" ref="M34:M40" si="5">L34*J34</f>
        <v>26</v>
      </c>
    </row>
    <row r="35" spans="2:16">
      <c r="B35" s="8" t="s">
        <v>42</v>
      </c>
      <c r="C35">
        <v>0.96599999999999997</v>
      </c>
      <c r="D35">
        <f>$H$2</f>
        <v>574</v>
      </c>
      <c r="E35">
        <f t="shared" si="1"/>
        <v>554.48400000000004</v>
      </c>
      <c r="F35" s="29">
        <f t="shared" si="2"/>
        <v>471.31139999999999</v>
      </c>
      <c r="G35" s="38">
        <v>3.5</v>
      </c>
      <c r="H35" s="30">
        <f>G51</f>
        <v>0.21337130135885166</v>
      </c>
      <c r="I35" s="39">
        <f t="shared" si="3"/>
        <v>-2.9675816506439956</v>
      </c>
      <c r="J35">
        <v>1</v>
      </c>
      <c r="K35" s="44">
        <f t="shared" si="4"/>
        <v>-2.9675816506439956</v>
      </c>
      <c r="L35" s="31">
        <v>3</v>
      </c>
      <c r="M35" s="31">
        <f t="shared" si="5"/>
        <v>3</v>
      </c>
    </row>
    <row r="36" spans="2:16">
      <c r="B36" s="8" t="s">
        <v>44</v>
      </c>
      <c r="C36">
        <v>0.85099999999999998</v>
      </c>
      <c r="D36">
        <f>$H$2</f>
        <v>574</v>
      </c>
      <c r="E36">
        <f t="shared" si="1"/>
        <v>488.47399999999999</v>
      </c>
      <c r="F36" s="29">
        <f t="shared" si="2"/>
        <v>415.2029</v>
      </c>
      <c r="G36" s="38">
        <v>3.5</v>
      </c>
      <c r="H36" s="30">
        <f>G52</f>
        <v>0.18479602162162162</v>
      </c>
      <c r="I36" s="39">
        <f t="shared" si="3"/>
        <v>-3.0281841702581214</v>
      </c>
      <c r="J36">
        <v>1</v>
      </c>
      <c r="K36" s="44">
        <f t="shared" si="4"/>
        <v>-3.0281841702581214</v>
      </c>
      <c r="L36" s="31">
        <v>2.77</v>
      </c>
      <c r="M36" s="31">
        <f t="shared" si="5"/>
        <v>2.77</v>
      </c>
    </row>
    <row r="37" spans="2:16">
      <c r="B37" s="8" t="s">
        <v>44</v>
      </c>
      <c r="C37">
        <v>0.85099999999999998</v>
      </c>
      <c r="D37">
        <f>$H$2-34</f>
        <v>540</v>
      </c>
      <c r="E37">
        <f t="shared" si="1"/>
        <v>459.53999999999996</v>
      </c>
      <c r="F37" s="29">
        <f t="shared" si="2"/>
        <v>390.60899999999998</v>
      </c>
      <c r="G37" s="38">
        <v>0</v>
      </c>
      <c r="H37" s="30">
        <f>G52</f>
        <v>0.18479602162162162</v>
      </c>
      <c r="I37" s="39">
        <f t="shared" si="3"/>
        <v>0.44386855062824832</v>
      </c>
      <c r="J37">
        <v>3</v>
      </c>
      <c r="K37" s="44">
        <f t="shared" si="4"/>
        <v>1.331605651884745</v>
      </c>
      <c r="L37" s="31">
        <f>L36</f>
        <v>2.77</v>
      </c>
      <c r="M37" s="31">
        <f t="shared" si="5"/>
        <v>8.31</v>
      </c>
    </row>
    <row r="38" spans="2:16">
      <c r="B38" s="8" t="s">
        <v>44</v>
      </c>
      <c r="C38">
        <v>0.85099999999999998</v>
      </c>
      <c r="D38">
        <f>$H$2-34-58</f>
        <v>482</v>
      </c>
      <c r="E38">
        <f t="shared" si="1"/>
        <v>410.18200000000002</v>
      </c>
      <c r="F38" s="29">
        <f t="shared" si="2"/>
        <v>348.65469999999999</v>
      </c>
      <c r="G38" s="38">
        <v>0</v>
      </c>
      <c r="H38" s="30">
        <f>H37</f>
        <v>0.18479602162162162</v>
      </c>
      <c r="I38" s="39">
        <f t="shared" si="3"/>
        <v>0.39619378037558461</v>
      </c>
      <c r="J38">
        <v>1</v>
      </c>
      <c r="K38" s="44">
        <f t="shared" si="4"/>
        <v>0.39619378037558461</v>
      </c>
      <c r="L38" s="31">
        <f>L37</f>
        <v>2.77</v>
      </c>
      <c r="M38" s="31">
        <f t="shared" si="5"/>
        <v>2.77</v>
      </c>
    </row>
    <row r="39" spans="2:16">
      <c r="B39" s="8" t="s">
        <v>44</v>
      </c>
      <c r="C39">
        <v>0.85099999999999998</v>
      </c>
      <c r="D39">
        <f>$H$2-140</f>
        <v>434</v>
      </c>
      <c r="E39">
        <f t="shared" si="1"/>
        <v>369.334</v>
      </c>
      <c r="F39" s="29">
        <f t="shared" si="2"/>
        <v>313.93389999999999</v>
      </c>
      <c r="G39" s="38">
        <v>0</v>
      </c>
      <c r="H39" s="30">
        <f>H38</f>
        <v>0.18479602162162162</v>
      </c>
      <c r="I39" s="39">
        <f t="shared" si="3"/>
        <v>0.35673879809751813</v>
      </c>
      <c r="J39">
        <v>1</v>
      </c>
      <c r="K39" s="44">
        <f t="shared" si="4"/>
        <v>0.35673879809751813</v>
      </c>
      <c r="L39" s="31">
        <f>L38</f>
        <v>2.77</v>
      </c>
      <c r="M39" s="31">
        <f t="shared" si="5"/>
        <v>2.77</v>
      </c>
    </row>
    <row r="40" spans="2:16">
      <c r="B40" s="15" t="s">
        <v>42</v>
      </c>
      <c r="C40" s="16">
        <v>0.96599999999999997</v>
      </c>
      <c r="D40" s="16">
        <v>70</v>
      </c>
      <c r="E40" s="16">
        <f t="shared" si="1"/>
        <v>67.62</v>
      </c>
      <c r="F40" s="17">
        <f t="shared" si="2"/>
        <v>57.477000000000004</v>
      </c>
      <c r="G40" s="45">
        <v>0</v>
      </c>
      <c r="H40" s="32">
        <f>H35</f>
        <v>0.21337130135885166</v>
      </c>
      <c r="I40" s="45">
        <f t="shared" si="3"/>
        <v>6.4929066994634702E-2</v>
      </c>
      <c r="J40" s="16">
        <v>1</v>
      </c>
      <c r="K40" s="46">
        <f t="shared" si="4"/>
        <v>6.4929066994634702E-2</v>
      </c>
      <c r="L40" s="33">
        <v>0</v>
      </c>
      <c r="M40" s="33">
        <f t="shared" si="5"/>
        <v>0</v>
      </c>
      <c r="N40" t="s">
        <v>64</v>
      </c>
    </row>
    <row r="41" spans="2:16">
      <c r="B41" s="8" t="s">
        <v>44</v>
      </c>
      <c r="C41">
        <v>0.85099999999999998</v>
      </c>
      <c r="D41">
        <f>($H$2-274)</f>
        <v>300</v>
      </c>
      <c r="E41">
        <f>(C41*D41)</f>
        <v>255.29999999999998</v>
      </c>
      <c r="F41" s="29">
        <f>(E41*$N$5)</f>
        <v>217.00499999999997</v>
      </c>
      <c r="G41" s="38">
        <v>0</v>
      </c>
      <c r="H41" s="29">
        <f>(H37)</f>
        <v>0.18479602162162162</v>
      </c>
      <c r="I41" s="39">
        <f t="shared" si="3"/>
        <v>0.24659363923791572</v>
      </c>
      <c r="J41">
        <v>1</v>
      </c>
      <c r="K41" s="44">
        <f>(I41*J41)</f>
        <v>0.24659363923791572</v>
      </c>
      <c r="L41" s="31">
        <f>(L39)</f>
        <v>2.77</v>
      </c>
      <c r="M41" s="31">
        <f>(L41*J41)</f>
        <v>2.77</v>
      </c>
    </row>
    <row r="42" spans="2:16">
      <c r="B42" s="8" t="s">
        <v>46</v>
      </c>
      <c r="H42" s="21"/>
      <c r="J42">
        <v>2</v>
      </c>
      <c r="K42" s="44"/>
      <c r="L42" s="31">
        <v>14.78</v>
      </c>
      <c r="M42" s="31">
        <f>L42*J42</f>
        <v>29.56</v>
      </c>
    </row>
    <row r="43" spans="2:16">
      <c r="B43" s="8" t="s">
        <v>65</v>
      </c>
      <c r="J43">
        <v>1</v>
      </c>
      <c r="K43" s="9"/>
      <c r="L43" s="31">
        <v>0.2</v>
      </c>
      <c r="M43" s="31">
        <f>(L43*J43)</f>
        <v>0.2</v>
      </c>
    </row>
    <row r="44" spans="2:16">
      <c r="B44" s="8" t="s">
        <v>66</v>
      </c>
      <c r="J44">
        <v>1</v>
      </c>
      <c r="K44" s="9"/>
      <c r="L44" s="31">
        <v>0.18</v>
      </c>
      <c r="M44" s="31">
        <f>(L44*J44)</f>
        <v>0.18</v>
      </c>
    </row>
    <row r="45" spans="2:16">
      <c r="B45" s="10" t="s">
        <v>67</v>
      </c>
      <c r="C45" s="11"/>
      <c r="D45" s="11"/>
      <c r="E45" s="11"/>
      <c r="F45" s="11"/>
      <c r="G45" s="11"/>
      <c r="H45" s="11"/>
      <c r="I45" s="11"/>
      <c r="J45" s="11">
        <v>1</v>
      </c>
      <c r="K45" s="12"/>
      <c r="L45" s="31">
        <v>1.06</v>
      </c>
      <c r="M45" s="31">
        <f>(L45*J45)</f>
        <v>1.06</v>
      </c>
    </row>
    <row r="46" spans="2:16">
      <c r="L46" t="s">
        <v>34</v>
      </c>
      <c r="M46" s="31">
        <f>(SUM(M33:M45))</f>
        <v>79.390000000000015</v>
      </c>
      <c r="O46" s="31">
        <f>(J13+SUM(G34:G40)-D74)</f>
        <v>0.76242160754891408</v>
      </c>
      <c r="P46">
        <f>(O46/J3)</f>
        <v>499.53258066516975</v>
      </c>
    </row>
    <row r="48" spans="2:16">
      <c r="B48" s="18" t="s">
        <v>61</v>
      </c>
      <c r="C48" s="6"/>
      <c r="D48" s="6"/>
      <c r="E48" s="6"/>
      <c r="F48" s="6"/>
      <c r="G48" s="7"/>
    </row>
    <row r="49" spans="2:7">
      <c r="B49" s="8"/>
      <c r="C49" t="s">
        <v>68</v>
      </c>
      <c r="D49" t="s">
        <v>69</v>
      </c>
      <c r="E49" t="s">
        <v>70</v>
      </c>
      <c r="F49" t="s">
        <v>71</v>
      </c>
      <c r="G49" s="9" t="s">
        <v>72</v>
      </c>
    </row>
    <row r="50" spans="2:7">
      <c r="B50" s="8" t="s">
        <v>39</v>
      </c>
      <c r="C50">
        <f>0.12*60*24</f>
        <v>172.79999999999998</v>
      </c>
      <c r="D50">
        <f>0.2*60*24</f>
        <v>288</v>
      </c>
      <c r="E50">
        <f>0.15*60*24</f>
        <v>216</v>
      </c>
      <c r="F50">
        <f>0.21*60*24</f>
        <v>302.39999999999998</v>
      </c>
      <c r="G50" s="34">
        <f>(C50*$J$4+D50*$J$5+E50*$J$6+F50*$J$7)</f>
        <v>1.5615590400000001</v>
      </c>
    </row>
    <row r="51" spans="2:7">
      <c r="B51" s="8" t="s">
        <v>42</v>
      </c>
      <c r="C51">
        <f>24/(1+1/24)</f>
        <v>23.04</v>
      </c>
      <c r="D51" s="19">
        <f>126/(3+5/24)</f>
        <v>39.272727272727273</v>
      </c>
      <c r="E51" s="19">
        <f>46/(38/24)</f>
        <v>29.05263157894737</v>
      </c>
      <c r="F51">
        <v>42</v>
      </c>
      <c r="G51" s="34">
        <f>(C51*$J$4+D51*$J$5+E51*$J$6+F51*$J$7)</f>
        <v>0.21337130135885166</v>
      </c>
    </row>
    <row r="52" spans="2:7">
      <c r="B52" s="8" t="s">
        <v>44</v>
      </c>
      <c r="C52">
        <f>21</f>
        <v>21</v>
      </c>
      <c r="D52" s="19">
        <f>87/3.33</f>
        <v>26.126126126126124</v>
      </c>
      <c r="E52">
        <f>74/2</f>
        <v>37</v>
      </c>
      <c r="F52">
        <v>36</v>
      </c>
      <c r="G52" s="34">
        <f>(C52*$J$4+D52*$J$5+E52*$J$6+F52*$J$7)</f>
        <v>0.18479602162162162</v>
      </c>
    </row>
    <row r="53" spans="2:7">
      <c r="B53" s="10" t="s">
        <v>46</v>
      </c>
      <c r="C53" s="11"/>
      <c r="D53" s="11"/>
      <c r="E53" s="11"/>
      <c r="F53" s="11"/>
      <c r="G53" s="12"/>
    </row>
    <row r="55" spans="2:7">
      <c r="B55" s="5" t="s">
        <v>73</v>
      </c>
      <c r="C55" s="6" t="s">
        <v>74</v>
      </c>
      <c r="D55" s="7" t="s">
        <v>75</v>
      </c>
    </row>
    <row r="56" spans="2:7">
      <c r="B56" s="8"/>
      <c r="C56" s="19">
        <v>138</v>
      </c>
      <c r="D56" s="9"/>
    </row>
    <row r="57" spans="2:7">
      <c r="B57" s="8"/>
      <c r="C57" s="19">
        <v>330</v>
      </c>
      <c r="D57" s="9"/>
    </row>
    <row r="58" spans="2:7">
      <c r="B58" s="8"/>
      <c r="C58" s="19">
        <v>327.51919355000001</v>
      </c>
      <c r="D58" s="9"/>
    </row>
    <row r="59" spans="2:7">
      <c r="B59" s="8"/>
      <c r="C59" s="19">
        <v>113.54742468000001</v>
      </c>
      <c r="D59" s="47">
        <v>1.1399999999999999</v>
      </c>
      <c r="E59" s="48">
        <f t="shared" ref="E59:E66" si="6">D59/C59</f>
        <v>1.0039857823396298E-2</v>
      </c>
    </row>
    <row r="60" spans="2:7">
      <c r="B60" s="8"/>
      <c r="C60" s="19">
        <v>130.53974622000001</v>
      </c>
      <c r="D60" s="47">
        <v>1.1793119999999999</v>
      </c>
      <c r="E60" s="48">
        <f t="shared" si="6"/>
        <v>9.0341220520874389E-3</v>
      </c>
    </row>
    <row r="61" spans="2:7">
      <c r="B61" s="8"/>
      <c r="C61" s="19">
        <v>167.40487411999999</v>
      </c>
      <c r="D61" s="47">
        <v>1.05481</v>
      </c>
      <c r="E61" s="48">
        <f t="shared" si="6"/>
        <v>6.3009515436443378E-3</v>
      </c>
    </row>
    <row r="62" spans="2:7">
      <c r="B62" s="8"/>
      <c r="C62" s="19">
        <v>167.96827999999999</v>
      </c>
      <c r="D62" s="47">
        <f>1.0512-0.00017</f>
        <v>1.0510299999999999</v>
      </c>
      <c r="E62" s="48">
        <f t="shared" si="6"/>
        <v>6.2573123925541178E-3</v>
      </c>
    </row>
    <row r="63" spans="2:7">
      <c r="B63" s="8"/>
      <c r="C63" s="19">
        <v>123.66</v>
      </c>
      <c r="D63" s="47">
        <v>1.0489999999999999</v>
      </c>
      <c r="E63" s="48">
        <f t="shared" si="6"/>
        <v>8.4829370855571719E-3</v>
      </c>
    </row>
    <row r="64" spans="2:7">
      <c r="B64" s="8"/>
      <c r="C64" s="19">
        <v>149.5</v>
      </c>
      <c r="D64" s="47">
        <v>1.17</v>
      </c>
      <c r="E64" s="48">
        <f t="shared" si="6"/>
        <v>7.826086956521738E-3</v>
      </c>
    </row>
    <row r="65" spans="2:5">
      <c r="B65" s="8"/>
      <c r="C65" s="19">
        <v>170.62</v>
      </c>
      <c r="D65" s="47">
        <v>1.1579999999999999</v>
      </c>
      <c r="E65" s="48">
        <f t="shared" si="6"/>
        <v>6.7870120736138783E-3</v>
      </c>
    </row>
    <row r="66" spans="2:5">
      <c r="B66" s="8"/>
      <c r="C66" s="19">
        <v>192.66</v>
      </c>
      <c r="D66" s="47">
        <v>1.0900000000000001</v>
      </c>
      <c r="E66" s="48">
        <f t="shared" si="6"/>
        <v>5.6576352122910834E-3</v>
      </c>
    </row>
    <row r="67" spans="2:5">
      <c r="B67" s="8"/>
      <c r="C67" s="19">
        <v>257.33999999999997</v>
      </c>
      <c r="D67" s="47">
        <v>1.1299999999999999</v>
      </c>
      <c r="E67" s="48">
        <f t="shared" ref="E67:E72" si="7">(D67/C67)</f>
        <v>4.3910779513484108E-3</v>
      </c>
    </row>
    <row r="68" spans="2:5">
      <c r="B68" s="8"/>
      <c r="C68" s="19">
        <v>312.13</v>
      </c>
      <c r="D68" s="47">
        <v>0.82</v>
      </c>
      <c r="E68" s="48">
        <f t="shared" si="7"/>
        <v>2.6271104988306155E-3</v>
      </c>
    </row>
    <row r="69" spans="2:5">
      <c r="B69" s="8"/>
      <c r="C69" s="19">
        <v>352.46100000000001</v>
      </c>
      <c r="D69" s="47">
        <v>1.2074</v>
      </c>
      <c r="E69" s="48">
        <f t="shared" si="7"/>
        <v>3.4256272325165053E-3</v>
      </c>
    </row>
    <row r="70" spans="2:5">
      <c r="B70" s="8"/>
      <c r="C70" s="19">
        <v>263.04000000000002</v>
      </c>
      <c r="D70" s="47">
        <v>1.0588</v>
      </c>
      <c r="E70" s="48">
        <f t="shared" si="7"/>
        <v>4.0252433090024325E-3</v>
      </c>
    </row>
    <row r="71" spans="2:5">
      <c r="B71" s="8"/>
      <c r="C71" s="19">
        <v>359.00495999999998</v>
      </c>
      <c r="D71" s="47">
        <v>1.1194999999999999</v>
      </c>
      <c r="E71" s="48">
        <f t="shared" si="7"/>
        <v>3.1183413176241355E-3</v>
      </c>
    </row>
    <row r="72" spans="2:5">
      <c r="B72" s="8"/>
      <c r="C72" s="19">
        <v>327.91</v>
      </c>
      <c r="D72" s="47">
        <v>1.0785</v>
      </c>
      <c r="E72" s="48">
        <f t="shared" si="7"/>
        <v>3.2890122289652647E-3</v>
      </c>
    </row>
    <row r="73" spans="2:5">
      <c r="B73" s="10"/>
      <c r="C73" s="11"/>
      <c r="D73" s="12"/>
    </row>
    <row r="74" spans="2:5">
      <c r="B74" t="s">
        <v>34</v>
      </c>
      <c r="C74" s="19">
        <f>(SUM(C56:C73))</f>
        <v>3883.3054785700006</v>
      </c>
      <c r="D74" s="38">
        <f>(SUM(D56:D73))</f>
        <v>15.306351999999999</v>
      </c>
    </row>
  </sheetData>
  <conditionalFormatting sqref="L34">
    <cfRule type="cellIs" dxfId="237" priority="17" operator="lessThan">
      <formula>$C$5</formula>
    </cfRule>
    <cfRule type="cellIs" dxfId="236" priority="18" operator="greaterThan">
      <formula>$C$5</formula>
    </cfRule>
  </conditionalFormatting>
  <conditionalFormatting sqref="L35">
    <cfRule type="cellIs" dxfId="235" priority="15" operator="lessThan">
      <formula>$C$6</formula>
    </cfRule>
    <cfRule type="cellIs" dxfId="234" priority="16" operator="greaterThan">
      <formula>$C$6</formula>
    </cfRule>
  </conditionalFormatting>
  <conditionalFormatting sqref="L39">
    <cfRule type="cellIs" dxfId="233" priority="13" operator="lessThan">
      <formula>$C$20</formula>
    </cfRule>
    <cfRule type="cellIs" dxfId="232" priority="14" operator="greaterThan">
      <formula>$C$20</formula>
    </cfRule>
  </conditionalFormatting>
  <conditionalFormatting sqref="L38">
    <cfRule type="cellIs" dxfId="231" priority="11" operator="lessThan">
      <formula>$C$19</formula>
    </cfRule>
    <cfRule type="cellIs" dxfId="230" priority="12" operator="greaterThan">
      <formula>$C$19</formula>
    </cfRule>
  </conditionalFormatting>
  <conditionalFormatting sqref="L37">
    <cfRule type="cellIs" dxfId="229" priority="9" operator="lessThan">
      <formula>$C$17</formula>
    </cfRule>
    <cfRule type="cellIs" dxfId="228" priority="10" operator="greaterThan">
      <formula>$C$17</formula>
    </cfRule>
  </conditionalFormatting>
  <conditionalFormatting sqref="L36">
    <cfRule type="cellIs" dxfId="227" priority="7" operator="lessThan">
      <formula>$C$7</formula>
    </cfRule>
    <cfRule type="cellIs" dxfId="226" priority="8" operator="greaterThan">
      <formula>$C$7</formula>
    </cfRule>
  </conditionalFormatting>
  <conditionalFormatting sqref="L41">
    <cfRule type="cellIs" dxfId="225" priority="5" operator="lessThan">
      <formula>$C$20</formula>
    </cfRule>
    <cfRule type="cellIs" dxfId="224" priority="6" operator="greaterThan">
      <formula>$C$20</formula>
    </cfRule>
  </conditionalFormatting>
  <conditionalFormatting sqref="L42">
    <cfRule type="cellIs" dxfId="223" priority="3" operator="lessThan">
      <formula>$C$27</formula>
    </cfRule>
    <cfRule type="cellIs" dxfId="222" priority="4" operator="greaterThan">
      <formula>$C$27</formula>
    </cfRule>
  </conditionalFormatting>
  <conditionalFormatting sqref="L43:L45">
    <cfRule type="cellIs" dxfId="221" priority="1" operator="lessThan">
      <formula>$C$7</formula>
    </cfRule>
    <cfRule type="cellIs" dxfId="220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sheetData>
    <row r="3" spans="2:4">
      <c r="C3" t="s">
        <v>6</v>
      </c>
      <c r="D3" t="s">
        <v>33</v>
      </c>
    </row>
    <row r="4" spans="2:4">
      <c r="B4" t="s">
        <v>76</v>
      </c>
      <c r="C4" s="38">
        <f>(-68/3)</f>
        <v>-22.666666666666668</v>
      </c>
      <c r="D4" s="38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77</v>
      </c>
      <c r="D4" t="s">
        <v>6</v>
      </c>
      <c r="E4" t="s">
        <v>34</v>
      </c>
    </row>
    <row r="5" spans="2:7">
      <c r="B5" t="s">
        <v>78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79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3:U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0.32358489359664749</v>
      </c>
      <c r="N3" s="1"/>
      <c r="O3" s="4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31.039079832080727</v>
      </c>
      <c r="K4" s="4">
        <f>(J4/D13-1)</f>
        <v>-5.3399048613848255E-2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8">
        <f>(D5/B5)</f>
        <v>0.25104143031116005</v>
      </c>
      <c r="D5" s="38">
        <v>0.5</v>
      </c>
      <c r="M5" t="s">
        <v>15</v>
      </c>
      <c r="N5" t="s">
        <v>29</v>
      </c>
      <c r="O5" t="s">
        <v>1</v>
      </c>
      <c r="P5" t="s">
        <v>2</v>
      </c>
      <c r="R5" s="1">
        <f>B5</f>
        <v>1.9917031199999999</v>
      </c>
      <c r="S5" s="38">
        <f>(T5/R5)</f>
        <v>0.25104143031116005</v>
      </c>
      <c r="T5" s="38">
        <f>D5</f>
        <v>0.5</v>
      </c>
    </row>
    <row r="6" spans="2:21">
      <c r="B6" s="2">
        <v>0.45516055999999999</v>
      </c>
      <c r="C6" s="40">
        <v>0</v>
      </c>
      <c r="D6" s="40">
        <f>(B6*C6)</f>
        <v>0</v>
      </c>
      <c r="E6" s="38">
        <f>(B6*J3)</f>
        <v>0.14728308137699048</v>
      </c>
      <c r="M6" t="s">
        <v>11</v>
      </c>
      <c r="N6" s="1">
        <f>($B$13/5)</f>
        <v>19.184504867999998</v>
      </c>
      <c r="O6" s="38">
        <f>($S$7*Params!K8)</f>
        <v>0.45234208965544787</v>
      </c>
      <c r="P6" s="38">
        <f>(O6*N6)</f>
        <v>8.6779590209962318</v>
      </c>
      <c r="R6" s="2">
        <f>(B6)</f>
        <v>0.45516055999999999</v>
      </c>
      <c r="S6" s="40">
        <v>0</v>
      </c>
      <c r="T6" s="40">
        <f>(D6)</f>
        <v>0</v>
      </c>
      <c r="U6" s="38">
        <f>(R6*J3)</f>
        <v>0.14728308137699048</v>
      </c>
    </row>
    <row r="7" spans="2:21">
      <c r="B7" s="1">
        <v>92.827974580000003</v>
      </c>
      <c r="C7" s="38">
        <f>(D7/B7)</f>
        <v>0.34795545358111374</v>
      </c>
      <c r="D7" s="38">
        <v>32.299999999999997</v>
      </c>
      <c r="E7" t="s">
        <v>15</v>
      </c>
      <c r="N7" s="1">
        <f>($B$13/5)</f>
        <v>19.184504867999998</v>
      </c>
      <c r="O7" s="38">
        <f>($S$7*Params!K9)</f>
        <v>0.55672872572978205</v>
      </c>
      <c r="P7" s="38">
        <f>(O7*N7)</f>
        <v>10.680564948918439</v>
      </c>
      <c r="R7" s="29">
        <f>B7</f>
        <v>92.827974580000003</v>
      </c>
      <c r="S7" s="38">
        <f>(T7/R7)</f>
        <v>0.34795545358111374</v>
      </c>
      <c r="T7" s="38">
        <f>D7</f>
        <v>32.299999999999997</v>
      </c>
      <c r="U7" t="s">
        <v>15</v>
      </c>
    </row>
    <row r="8" spans="2:21">
      <c r="B8" s="1">
        <v>-3.1156999999999999</v>
      </c>
      <c r="C8" s="38">
        <f>(D8/B8)</f>
        <v>0.3241529704400295</v>
      </c>
      <c r="D8" s="38">
        <v>-1.0099634099999999</v>
      </c>
      <c r="N8" s="1">
        <f>($B$13/5)</f>
        <v>19.184504867999998</v>
      </c>
      <c r="O8" s="38">
        <f>($C$7*Params!K10)</f>
        <v>0.7655019978784503</v>
      </c>
      <c r="P8" s="38">
        <f>(O8*N8)</f>
        <v>14.685776804762854</v>
      </c>
      <c r="R8" s="1">
        <f>(B8+B9)</f>
        <v>0.64768608000000016</v>
      </c>
      <c r="S8" s="38">
        <v>0</v>
      </c>
      <c r="T8" s="38">
        <f>D8+D9</f>
        <v>-9.9634099999998949E-3</v>
      </c>
    </row>
    <row r="9" spans="2:21">
      <c r="B9" s="1">
        <v>3.7633860800000001</v>
      </c>
      <c r="C9" s="38">
        <f>(D9/B9)</f>
        <v>0.26571815347735994</v>
      </c>
      <c r="D9" s="38">
        <v>1</v>
      </c>
      <c r="N9" s="1">
        <f>($B$13/5)</f>
        <v>19.184504867999998</v>
      </c>
      <c r="O9" s="38">
        <f>($C$7*Params!K11)</f>
        <v>1.391821814324455</v>
      </c>
      <c r="P9" s="38">
        <f>(O9*N9)</f>
        <v>26.701412372296094</v>
      </c>
    </row>
    <row r="10" spans="2:21">
      <c r="N10" s="1"/>
      <c r="P10" s="38"/>
    </row>
    <row r="11" spans="2:21">
      <c r="P11" s="38">
        <f>(SUM(P6:P9))</f>
        <v>60.745713146973614</v>
      </c>
    </row>
    <row r="12" spans="2:21">
      <c r="F12" t="s">
        <v>9</v>
      </c>
      <c r="G12" s="35">
        <f>(D13/B13)</f>
        <v>0.34183875805618735</v>
      </c>
    </row>
    <row r="13" spans="2:21">
      <c r="B13" s="1">
        <f>(SUM(B5:B12))</f>
        <v>95.922524339999995</v>
      </c>
      <c r="D13" s="38">
        <f>(SUM(D5:D12))</f>
        <v>32.79003659</v>
      </c>
      <c r="R13" s="1">
        <f>(SUM(R5:R12))</f>
        <v>95.922524339999995</v>
      </c>
      <c r="T13" s="38">
        <f>(SUM(T5:T12))</f>
        <v>32.79003659</v>
      </c>
    </row>
  </sheetData>
  <conditionalFormatting sqref="C5 C7 G12 S5 S7">
    <cfRule type="cellIs" dxfId="219" priority="15" operator="lessThan">
      <formula>$J$3</formula>
    </cfRule>
    <cfRule type="cellIs" dxfId="218" priority="16" operator="greaterThan">
      <formula>$J$3</formula>
    </cfRule>
  </conditionalFormatting>
  <conditionalFormatting sqref="O6:O9">
    <cfRule type="cellIs" dxfId="217" priority="11" operator="lessThan">
      <formula>$J$3</formula>
    </cfRule>
    <cfRule type="cellIs" dxfId="216" priority="12" operator="greaterThan">
      <formula>$J$3</formula>
    </cfRule>
  </conditionalFormatting>
  <conditionalFormatting sqref="O6">
    <cfRule type="cellIs" dxfId="215" priority="1" operator="lessThan">
      <formula>$J$3</formula>
    </cfRule>
    <cfRule type="cellIs" dxfId="214" priority="2" operator="greater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5">
        <v>0.11173060200081129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7.0509128543184145</v>
      </c>
      <c r="K4" s="4">
        <f>(J4/D14-1)</f>
        <v>-0.282412940549715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8">
        <f>(D5/B5)</f>
        <v>0.16877286331892252</v>
      </c>
      <c r="D5" s="38">
        <v>10.15</v>
      </c>
      <c r="N5" t="s">
        <v>29</v>
      </c>
      <c r="O5" t="s">
        <v>1</v>
      </c>
      <c r="P5" t="s">
        <v>2</v>
      </c>
      <c r="R5" s="29">
        <f>(B5)</f>
        <v>60.14</v>
      </c>
      <c r="S5" s="38">
        <f>(T5/R5)</f>
        <v>0.16877286331892252</v>
      </c>
      <c r="T5" s="38">
        <f>D5</f>
        <v>10.15</v>
      </c>
    </row>
    <row r="6" spans="2:21">
      <c r="B6" s="25">
        <v>0.36356174000000002</v>
      </c>
      <c r="C6" s="40">
        <v>0</v>
      </c>
      <c r="D6" s="40">
        <f>(B6*C6)</f>
        <v>0</v>
      </c>
      <c r="E6" s="38">
        <f>(B6*J3)</f>
        <v>4.0620972074662441E-2</v>
      </c>
      <c r="M6" t="s">
        <v>11</v>
      </c>
      <c r="N6" s="29">
        <f>($B$14/5)</f>
        <v>12.621274258</v>
      </c>
      <c r="O6" s="38">
        <f>($C$5*Params!K8)</f>
        <v>0.21940472231459929</v>
      </c>
      <c r="P6" s="38">
        <f>(O6*N6)</f>
        <v>2.7691671738328902</v>
      </c>
      <c r="R6" s="25">
        <f>(B6)</f>
        <v>0.36356174000000002</v>
      </c>
      <c r="S6" s="40">
        <v>0</v>
      </c>
      <c r="T6" s="40">
        <f>(D6)</f>
        <v>0</v>
      </c>
      <c r="U6" s="38">
        <f>(E6)</f>
        <v>4.0620972074662441E-2</v>
      </c>
    </row>
    <row r="7" spans="2:21">
      <c r="B7" s="29">
        <v>-12.028</v>
      </c>
      <c r="C7" s="38">
        <f>(D7/B7)</f>
        <v>0.21200000000000002</v>
      </c>
      <c r="D7" s="38">
        <v>-2.5499360000000002</v>
      </c>
      <c r="N7" s="29">
        <f>($B$14/5)</f>
        <v>12.621274258</v>
      </c>
      <c r="O7" s="38">
        <f>($C$5*Params!K9)</f>
        <v>0.27003658131027602</v>
      </c>
      <c r="P7" s="38">
        <f>(O7*N7)</f>
        <v>3.4082057524097107</v>
      </c>
      <c r="R7" s="29">
        <f>SUM(B7:B10)</f>
        <v>2.6028095500000017</v>
      </c>
      <c r="S7" s="38">
        <v>0</v>
      </c>
      <c r="T7" s="38">
        <f>SUM(D7:D10)</f>
        <v>-0.3241360000000002</v>
      </c>
      <c r="U7" s="39"/>
    </row>
    <row r="8" spans="2:21">
      <c r="B8" s="29">
        <v>-12</v>
      </c>
      <c r="C8" s="38">
        <f>(D8/B8)</f>
        <v>0.255</v>
      </c>
      <c r="D8" s="38">
        <v>-3.06</v>
      </c>
      <c r="N8" s="29">
        <f>($B$14/5)</f>
        <v>12.621274258</v>
      </c>
      <c r="O8" s="38">
        <f>($C$5*Params!K10)</f>
        <v>0.37130029930162955</v>
      </c>
      <c r="P8" s="38">
        <f>(O8*N8)</f>
        <v>4.686282909563352</v>
      </c>
      <c r="R8" s="29"/>
      <c r="S8" s="38"/>
      <c r="T8" s="38"/>
    </row>
    <row r="9" spans="2:21">
      <c r="B9" s="29">
        <v>13.39371616</v>
      </c>
      <c r="C9" s="38">
        <f>(D9/B9)</f>
        <v>0.21471262834346938</v>
      </c>
      <c r="D9" s="38">
        <v>2.8757999999999999</v>
      </c>
      <c r="N9" s="29">
        <f>($B$14/5)</f>
        <v>12.621274258</v>
      </c>
      <c r="O9" s="38">
        <f>($C$5*Params!K11)</f>
        <v>0.67509145327569009</v>
      </c>
      <c r="P9" s="38">
        <f>(O9*N9)</f>
        <v>8.5205143810242774</v>
      </c>
    </row>
    <row r="10" spans="2:21">
      <c r="B10" s="29">
        <v>13.23709339</v>
      </c>
      <c r="C10" s="38">
        <f>(D10/B10)</f>
        <v>0.18206413817557876</v>
      </c>
      <c r="D10" s="38">
        <v>2.41</v>
      </c>
    </row>
    <row r="12" spans="2:21">
      <c r="P12" s="38">
        <f>(SUM(P6:P9))</f>
        <v>19.384170216830231</v>
      </c>
    </row>
    <row r="13" spans="2:21">
      <c r="F13" t="s">
        <v>9</v>
      </c>
      <c r="G13" s="38">
        <f>(D14/B14)</f>
        <v>0.15570320078849204</v>
      </c>
    </row>
    <row r="14" spans="2:21">
      <c r="B14" s="29">
        <f>(SUM(B5:B13))</f>
        <v>63.106371289999998</v>
      </c>
      <c r="D14" s="38">
        <f>(SUM(D5:D13))</f>
        <v>9.8258639999999993</v>
      </c>
    </row>
    <row r="17" spans="11:20">
      <c r="N17" s="29"/>
      <c r="R17" s="29">
        <f>(SUM(R5:R16))</f>
        <v>63.106371290000006</v>
      </c>
      <c r="T17" s="38">
        <f>(SUM(T5:T16))</f>
        <v>9.8258639999999993</v>
      </c>
    </row>
    <row r="20" spans="11:20">
      <c r="K20" s="39"/>
    </row>
  </sheetData>
  <conditionalFormatting sqref="C5">
    <cfRule type="cellIs" dxfId="213" priority="13" operator="lessThan">
      <formula>$J$3</formula>
    </cfRule>
    <cfRule type="cellIs" dxfId="212" priority="14" operator="greaterThan">
      <formula>$J$3</formula>
    </cfRule>
  </conditionalFormatting>
  <conditionalFormatting sqref="C9:C10">
    <cfRule type="cellIs" dxfId="211" priority="11" operator="lessThan">
      <formula>$J$3</formula>
    </cfRule>
    <cfRule type="cellIs" dxfId="210" priority="12" operator="greaterThan">
      <formula>$J$3</formula>
    </cfRule>
  </conditionalFormatting>
  <conditionalFormatting sqref="O6:O9">
    <cfRule type="cellIs" dxfId="209" priority="9" operator="lessThan">
      <formula>$J$3</formula>
    </cfRule>
    <cfRule type="cellIs" dxfId="208" priority="10" operator="greaterThan">
      <formula>$J$3</formula>
    </cfRule>
  </conditionalFormatting>
  <conditionalFormatting sqref="S5 S7:S8">
    <cfRule type="cellIs" dxfId="207" priority="5" operator="lessThan">
      <formula>$J$3</formula>
    </cfRule>
    <cfRule type="cellIs" dxfId="206" priority="6" operator="greaterThan">
      <formula>$J$3</formula>
    </cfRule>
  </conditionalFormatting>
  <conditionalFormatting sqref="O6">
    <cfRule type="cellIs" dxfId="205" priority="3" operator="lessThan">
      <formula>$J$3</formula>
    </cfRule>
    <cfRule type="cellIs" dxfId="204" priority="4" operator="greaterThan">
      <formula>$J$3</formula>
    </cfRule>
  </conditionalFormatting>
  <conditionalFormatting sqref="G13">
    <cfRule type="cellIs" dxfId="203" priority="1" operator="lessThan">
      <formula>$J$3</formula>
    </cfRule>
    <cfRule type="cellIs" dxfId="202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2023-07-14T20:00:50Z</dcterms:modified>
</cp:coreProperties>
</file>