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4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B13" i="32"/>
  <c r="D11"/>
  <c r="D13" s="1"/>
  <c r="G12" s="1"/>
  <c r="C10"/>
  <c r="C9"/>
  <c r="T8"/>
  <c r="S8"/>
  <c r="R8"/>
  <c r="C8"/>
  <c r="T7"/>
  <c r="R7"/>
  <c r="N8" s="1"/>
  <c r="P7"/>
  <c r="N7"/>
  <c r="C7"/>
  <c r="S7" s="1"/>
  <c r="T6"/>
  <c r="R6"/>
  <c r="N6"/>
  <c r="C6"/>
  <c r="S6" s="1"/>
  <c r="R5"/>
  <c r="C5"/>
  <c r="O9" s="1"/>
  <c r="J4"/>
  <c r="K4" s="1"/>
  <c r="B14" i="31"/>
  <c r="C12"/>
  <c r="C11"/>
  <c r="C10"/>
  <c r="N9"/>
  <c r="C9"/>
  <c r="T8"/>
  <c r="S8"/>
  <c r="R8"/>
  <c r="N8"/>
  <c r="C8"/>
  <c r="T7"/>
  <c r="R7"/>
  <c r="N7"/>
  <c r="C7"/>
  <c r="T6"/>
  <c r="S6"/>
  <c r="R6"/>
  <c r="P6"/>
  <c r="N6"/>
  <c r="E6"/>
  <c r="D6"/>
  <c r="D14" s="1"/>
  <c r="G13" s="1"/>
  <c r="R5"/>
  <c r="R18" s="1"/>
  <c r="C5"/>
  <c r="O8" s="1"/>
  <c r="P8" s="1"/>
  <c r="J4"/>
  <c r="K4" s="1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C5"/>
  <c r="O9" s="1"/>
  <c r="P9" s="1"/>
  <c r="J4"/>
  <c r="D39" i="28"/>
  <c r="C39" s="1"/>
  <c r="S25" s="1"/>
  <c r="D38"/>
  <c r="C38" s="1"/>
  <c r="O8" s="1"/>
  <c r="C37"/>
  <c r="C36"/>
  <c r="C35"/>
  <c r="B34"/>
  <c r="C34" s="1"/>
  <c r="D33"/>
  <c r="C33"/>
  <c r="C32"/>
  <c r="C31"/>
  <c r="C30"/>
  <c r="D29"/>
  <c r="C29" s="1"/>
  <c r="B28"/>
  <c r="C28" s="1"/>
  <c r="C27"/>
  <c r="B26"/>
  <c r="C26" s="1"/>
  <c r="T25"/>
  <c r="R25"/>
  <c r="C25"/>
  <c r="T24"/>
  <c r="S24"/>
  <c r="R24"/>
  <c r="N24"/>
  <c r="C24"/>
  <c r="T23"/>
  <c r="S23" s="1"/>
  <c r="R23"/>
  <c r="N23"/>
  <c r="C23"/>
  <c r="T22"/>
  <c r="S22"/>
  <c r="R22"/>
  <c r="C22"/>
  <c r="O23" s="1"/>
  <c r="T21"/>
  <c r="V21" s="1"/>
  <c r="R2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C16"/>
  <c r="T15"/>
  <c r="S15" s="1"/>
  <c r="R15"/>
  <c r="N26" s="1"/>
  <c r="O15"/>
  <c r="P15" s="1"/>
  <c r="N15"/>
  <c r="E15"/>
  <c r="B15"/>
  <c r="T14"/>
  <c r="S14"/>
  <c r="R14"/>
  <c r="O14"/>
  <c r="P14" s="1"/>
  <c r="N14"/>
  <c r="E14"/>
  <c r="B14"/>
  <c r="T13"/>
  <c r="S13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N8"/>
  <c r="B8"/>
  <c r="C8" s="1"/>
  <c r="T7"/>
  <c r="R7"/>
  <c r="P7"/>
  <c r="N7"/>
  <c r="C7"/>
  <c r="T6"/>
  <c r="O6"/>
  <c r="N6"/>
  <c r="P6" s="1"/>
  <c r="B6"/>
  <c r="R6" s="1"/>
  <c r="S5"/>
  <c r="D5"/>
  <c r="D41" s="1"/>
  <c r="B5"/>
  <c r="R5" s="1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9" i="26"/>
  <c r="J4" s="1"/>
  <c r="N17"/>
  <c r="C17"/>
  <c r="N16"/>
  <c r="C16"/>
  <c r="N15"/>
  <c r="C15"/>
  <c r="N14"/>
  <c r="C14"/>
  <c r="C13"/>
  <c r="C12"/>
  <c r="C11"/>
  <c r="C10"/>
  <c r="T9"/>
  <c r="V9" s="1"/>
  <c r="R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P17" s="1"/>
  <c r="T5"/>
  <c r="S5" s="1"/>
  <c r="R5"/>
  <c r="R22" s="1"/>
  <c r="C5"/>
  <c r="O9" s="1"/>
  <c r="P9" s="1"/>
  <c r="B10" i="25"/>
  <c r="N9" s="1"/>
  <c r="N7"/>
  <c r="E7"/>
  <c r="D7"/>
  <c r="E6"/>
  <c r="D6"/>
  <c r="D10" s="1"/>
  <c r="G9" s="1"/>
  <c r="C5"/>
  <c r="O7" s="1"/>
  <c r="P7" s="1"/>
  <c r="J4"/>
  <c r="K4" s="1"/>
  <c r="N17" i="24"/>
  <c r="N16"/>
  <c r="B16"/>
  <c r="D16" s="1"/>
  <c r="T9" s="1"/>
  <c r="D15"/>
  <c r="B15"/>
  <c r="B18" s="1"/>
  <c r="J4" s="1"/>
  <c r="N14"/>
  <c r="C14"/>
  <c r="C13"/>
  <c r="C12"/>
  <c r="C11"/>
  <c r="T10"/>
  <c r="R10"/>
  <c r="N15" s="1"/>
  <c r="C10"/>
  <c r="R9"/>
  <c r="N9" s="1"/>
  <c r="C9"/>
  <c r="T8"/>
  <c r="S8"/>
  <c r="R8"/>
  <c r="N8"/>
  <c r="C8"/>
  <c r="T7"/>
  <c r="S7" s="1"/>
  <c r="R7"/>
  <c r="C7"/>
  <c r="O9" s="1"/>
  <c r="P9" s="1"/>
  <c r="R6"/>
  <c r="U6" s="1"/>
  <c r="N6"/>
  <c r="E6"/>
  <c r="D6"/>
  <c r="D18" s="1"/>
  <c r="G17" s="1"/>
  <c r="T5"/>
  <c r="S5"/>
  <c r="R5"/>
  <c r="R17" s="1"/>
  <c r="C5"/>
  <c r="O17" s="1"/>
  <c r="P17" s="1"/>
  <c r="B35" i="23"/>
  <c r="C35" s="1"/>
  <c r="N9" s="1"/>
  <c r="P9" s="1"/>
  <c r="C34"/>
  <c r="C33"/>
  <c r="B32"/>
  <c r="C32" s="1"/>
  <c r="C31"/>
  <c r="C30"/>
  <c r="C29"/>
  <c r="C28"/>
  <c r="C27"/>
  <c r="D26"/>
  <c r="B26"/>
  <c r="T25"/>
  <c r="D25"/>
  <c r="T21" s="1"/>
  <c r="S21" s="1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C12"/>
  <c r="S11"/>
  <c r="R11"/>
  <c r="C11"/>
  <c r="R10"/>
  <c r="S10" s="1"/>
  <c r="C10"/>
  <c r="O9"/>
  <c r="B9"/>
  <c r="B37" s="1"/>
  <c r="J4" s="1"/>
  <c r="R8"/>
  <c r="S8" s="1"/>
  <c r="C8"/>
  <c r="T7"/>
  <c r="R7"/>
  <c r="D7"/>
  <c r="R6"/>
  <c r="T6" s="1"/>
  <c r="D6"/>
  <c r="R5"/>
  <c r="T5" s="1"/>
  <c r="T37" s="1"/>
  <c r="D5"/>
  <c r="D37" s="1"/>
  <c r="G37" s="1"/>
  <c r="D15" i="22"/>
  <c r="D14"/>
  <c r="D13"/>
  <c r="D12"/>
  <c r="D11"/>
  <c r="D10"/>
  <c r="D9"/>
  <c r="D8"/>
  <c r="B7"/>
  <c r="C7" s="1"/>
  <c r="E6"/>
  <c r="D6"/>
  <c r="D5"/>
  <c r="D17" s="1"/>
  <c r="B15" i="21"/>
  <c r="C13"/>
  <c r="C12"/>
  <c r="C11"/>
  <c r="C10"/>
  <c r="C9"/>
  <c r="T8"/>
  <c r="R8"/>
  <c r="U8" s="1"/>
  <c r="C8"/>
  <c r="T7"/>
  <c r="S7" s="1"/>
  <c r="R7"/>
  <c r="N8" s="1"/>
  <c r="C7"/>
  <c r="O8" s="1"/>
  <c r="P8" s="1"/>
  <c r="R6"/>
  <c r="N6"/>
  <c r="E6"/>
  <c r="D6"/>
  <c r="D15" s="1"/>
  <c r="G14" s="1"/>
  <c r="T5"/>
  <c r="S5"/>
  <c r="R5"/>
  <c r="N9" s="1"/>
  <c r="C5"/>
  <c r="J4"/>
  <c r="B10" i="20"/>
  <c r="J4" s="1"/>
  <c r="K4" s="1"/>
  <c r="O9"/>
  <c r="P9" s="1"/>
  <c r="N9"/>
  <c r="T8"/>
  <c r="S8"/>
  <c r="R8"/>
  <c r="C8"/>
  <c r="R7"/>
  <c r="O7"/>
  <c r="P7" s="1"/>
  <c r="D7"/>
  <c r="C7" s="1"/>
  <c r="T6"/>
  <c r="S6" s="1"/>
  <c r="R6"/>
  <c r="O6"/>
  <c r="O3" s="1"/>
  <c r="N6"/>
  <c r="N7" s="1"/>
  <c r="E6"/>
  <c r="D6"/>
  <c r="D10" s="1"/>
  <c r="G9" s="1"/>
  <c r="T5"/>
  <c r="S5" s="1"/>
  <c r="R5"/>
  <c r="R21" s="1"/>
  <c r="C5"/>
  <c r="O8" s="1"/>
  <c r="B10" i="19"/>
  <c r="N9"/>
  <c r="N8"/>
  <c r="O7"/>
  <c r="P7" s="1"/>
  <c r="N7"/>
  <c r="N6"/>
  <c r="E6"/>
  <c r="D6"/>
  <c r="D10" s="1"/>
  <c r="C5"/>
  <c r="O9" s="1"/>
  <c r="P9" s="1"/>
  <c r="J4"/>
  <c r="B10" i="18"/>
  <c r="N9" s="1"/>
  <c r="N7"/>
  <c r="E6"/>
  <c r="D6"/>
  <c r="D10" s="1"/>
  <c r="G9" s="1"/>
  <c r="C5"/>
  <c r="O7" s="1"/>
  <c r="P7" s="1"/>
  <c r="J4"/>
  <c r="K4" s="1"/>
  <c r="B13" i="17"/>
  <c r="N9" s="1"/>
  <c r="O9"/>
  <c r="P9" s="1"/>
  <c r="O8"/>
  <c r="N8"/>
  <c r="P8" s="1"/>
  <c r="O7"/>
  <c r="O6"/>
  <c r="N6"/>
  <c r="P6" s="1"/>
  <c r="E6"/>
  <c r="D6"/>
  <c r="D13" s="1"/>
  <c r="G12" s="1"/>
  <c r="J4"/>
  <c r="K4" s="1"/>
  <c r="C10" i="16"/>
  <c r="B9"/>
  <c r="D9" s="1"/>
  <c r="D8" s="1"/>
  <c r="T8" s="1"/>
  <c r="C8"/>
  <c r="B8"/>
  <c r="R8" s="1"/>
  <c r="S8" s="1"/>
  <c r="T7"/>
  <c r="R7"/>
  <c r="R13" s="1"/>
  <c r="C7"/>
  <c r="T6"/>
  <c r="S6"/>
  <c r="O6" s="1"/>
  <c r="R6"/>
  <c r="E6"/>
  <c r="D6"/>
  <c r="D14" s="1"/>
  <c r="T5"/>
  <c r="T13" s="1"/>
  <c r="R5"/>
  <c r="U5" s="1"/>
  <c r="C5"/>
  <c r="B13" i="15"/>
  <c r="N6" s="1"/>
  <c r="O9"/>
  <c r="N8"/>
  <c r="O7"/>
  <c r="E6"/>
  <c r="D6"/>
  <c r="D13" s="1"/>
  <c r="C5"/>
  <c r="O8" s="1"/>
  <c r="P8" s="1"/>
  <c r="N24" i="14"/>
  <c r="N22"/>
  <c r="N17"/>
  <c r="B17"/>
  <c r="N16"/>
  <c r="C15"/>
  <c r="D14"/>
  <c r="C14" s="1"/>
  <c r="C13"/>
  <c r="C12"/>
  <c r="C11"/>
  <c r="T10"/>
  <c r="R10"/>
  <c r="E10"/>
  <c r="S9"/>
  <c r="R9"/>
  <c r="N15" s="1"/>
  <c r="D9"/>
  <c r="S8"/>
  <c r="O9" s="1"/>
  <c r="R8"/>
  <c r="N7" s="1"/>
  <c r="P7" s="1"/>
  <c r="O8"/>
  <c r="E8"/>
  <c r="S7"/>
  <c r="R7"/>
  <c r="T7" s="1"/>
  <c r="O7"/>
  <c r="E7"/>
  <c r="S6"/>
  <c r="R6"/>
  <c r="T6" s="1"/>
  <c r="O6"/>
  <c r="D6"/>
  <c r="R5"/>
  <c r="R37" s="1"/>
  <c r="D5"/>
  <c r="J4"/>
  <c r="D13" i="13"/>
  <c r="B13"/>
  <c r="G12"/>
  <c r="C11"/>
  <c r="C10"/>
  <c r="C9"/>
  <c r="N8"/>
  <c r="C8"/>
  <c r="N7"/>
  <c r="C7"/>
  <c r="T6"/>
  <c r="R6"/>
  <c r="N9" s="1"/>
  <c r="N6"/>
  <c r="C6"/>
  <c r="O6" s="1"/>
  <c r="P6" s="1"/>
  <c r="T5"/>
  <c r="T15" s="1"/>
  <c r="R5"/>
  <c r="R15" s="1"/>
  <c r="C5"/>
  <c r="O9" s="1"/>
  <c r="P9" s="1"/>
  <c r="K4"/>
  <c r="J4"/>
  <c r="N17" i="12"/>
  <c r="N16"/>
  <c r="N15"/>
  <c r="N14"/>
  <c r="B13"/>
  <c r="C11"/>
  <c r="C10"/>
  <c r="O16" s="1"/>
  <c r="P16" s="1"/>
  <c r="C9"/>
  <c r="U8"/>
  <c r="T8"/>
  <c r="S8" s="1"/>
  <c r="R8"/>
  <c r="O8"/>
  <c r="C8"/>
  <c r="T7"/>
  <c r="V7" s="1"/>
  <c r="R7"/>
  <c r="N9" s="1"/>
  <c r="N7"/>
  <c r="C7"/>
  <c r="T6"/>
  <c r="S6" s="1"/>
  <c r="R6"/>
  <c r="O6"/>
  <c r="P6" s="1"/>
  <c r="N6"/>
  <c r="E6"/>
  <c r="D6"/>
  <c r="D13" s="1"/>
  <c r="T5"/>
  <c r="T13" s="1"/>
  <c r="R5"/>
  <c r="R13" s="1"/>
  <c r="C5"/>
  <c r="O7" s="1"/>
  <c r="P7" s="1"/>
  <c r="J4"/>
  <c r="B14" i="11"/>
  <c r="N9"/>
  <c r="N8"/>
  <c r="N7"/>
  <c r="D7"/>
  <c r="D14" s="1"/>
  <c r="G13" s="1"/>
  <c r="N6"/>
  <c r="E6"/>
  <c r="D6"/>
  <c r="C5"/>
  <c r="O9" s="1"/>
  <c r="P9" s="1"/>
  <c r="J4"/>
  <c r="E7" s="1"/>
  <c r="B14" i="10"/>
  <c r="D12"/>
  <c r="C12" s="1"/>
  <c r="C11"/>
  <c r="C10"/>
  <c r="C9"/>
  <c r="C8"/>
  <c r="T7"/>
  <c r="U7" s="1"/>
  <c r="R7"/>
  <c r="C7"/>
  <c r="T6"/>
  <c r="S6" s="1"/>
  <c r="R6"/>
  <c r="O6"/>
  <c r="E6"/>
  <c r="D6"/>
  <c r="D14" s="1"/>
  <c r="T5"/>
  <c r="T14" s="1"/>
  <c r="R5"/>
  <c r="N9" s="1"/>
  <c r="C5"/>
  <c r="O7" s="1"/>
  <c r="J4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K4" s="1"/>
  <c r="B13" i="8"/>
  <c r="N9" s="1"/>
  <c r="C9"/>
  <c r="T8"/>
  <c r="R8"/>
  <c r="O8"/>
  <c r="C8"/>
  <c r="T7"/>
  <c r="S7"/>
  <c r="O7" s="1"/>
  <c r="P7" s="1"/>
  <c r="R7"/>
  <c r="N7"/>
  <c r="C7"/>
  <c r="O9" s="1"/>
  <c r="P9" s="1"/>
  <c r="R6"/>
  <c r="U6" s="1"/>
  <c r="O6"/>
  <c r="P6" s="1"/>
  <c r="N6"/>
  <c r="E6"/>
  <c r="D6"/>
  <c r="D13" s="1"/>
  <c r="T5"/>
  <c r="R5"/>
  <c r="R13" s="1"/>
  <c r="C5"/>
  <c r="J4"/>
  <c r="C6" i="7"/>
  <c r="E6" s="1"/>
  <c r="C5"/>
  <c r="E5" s="1"/>
  <c r="C4" i="6"/>
  <c r="C74" i="5"/>
  <c r="E72"/>
  <c r="E71"/>
  <c r="E70"/>
  <c r="E69"/>
  <c r="E68"/>
  <c r="E67"/>
  <c r="E66"/>
  <c r="E65"/>
  <c r="E64"/>
  <c r="E63"/>
  <c r="D62"/>
  <c r="D74" s="1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M37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P31" s="1"/>
  <c r="N31"/>
  <c r="O30"/>
  <c r="P30" s="1"/>
  <c r="N30"/>
  <c r="O29"/>
  <c r="P29" s="1"/>
  <c r="P35" s="1"/>
  <c r="N29"/>
  <c r="O23"/>
  <c r="P23" s="1"/>
  <c r="N23"/>
  <c r="O22"/>
  <c r="P22" s="1"/>
  <c r="N22"/>
  <c r="O21"/>
  <c r="P21" s="1"/>
  <c r="N21"/>
  <c r="O20"/>
  <c r="P20" s="1"/>
  <c r="P26" s="1"/>
  <c r="N20"/>
  <c r="O14"/>
  <c r="P14" s="1"/>
  <c r="N14"/>
  <c r="O13"/>
  <c r="P13" s="1"/>
  <c r="N13"/>
  <c r="O12"/>
  <c r="P12" s="1"/>
  <c r="N12"/>
  <c r="O11"/>
  <c r="P11" s="1"/>
  <c r="P17" s="1"/>
  <c r="N11"/>
  <c r="B9"/>
  <c r="D7"/>
  <c r="N6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86" s="1"/>
  <c r="Y2"/>
  <c r="M68" i="2"/>
  <c r="M67"/>
  <c r="M66"/>
  <c r="N65"/>
  <c r="M65"/>
  <c r="O65" s="1"/>
  <c r="M60"/>
  <c r="M59"/>
  <c r="N57"/>
  <c r="M52"/>
  <c r="M51"/>
  <c r="M49"/>
  <c r="M44"/>
  <c r="M43"/>
  <c r="M42"/>
  <c r="N41"/>
  <c r="O41" s="1"/>
  <c r="M41"/>
  <c r="M36"/>
  <c r="M35"/>
  <c r="C35"/>
  <c r="B35"/>
  <c r="M34"/>
  <c r="C34"/>
  <c r="N33"/>
  <c r="M33"/>
  <c r="O33" s="1"/>
  <c r="D33"/>
  <c r="C33"/>
  <c r="B33"/>
  <c r="C32"/>
  <c r="N49" s="1"/>
  <c r="O49" s="1"/>
  <c r="B31"/>
  <c r="M57" s="1"/>
  <c r="D30"/>
  <c r="B30"/>
  <c r="B37" s="1"/>
  <c r="D29"/>
  <c r="M28"/>
  <c r="D28"/>
  <c r="M27"/>
  <c r="D27"/>
  <c r="M26"/>
  <c r="D26"/>
  <c r="C26" s="1"/>
  <c r="N9" s="1"/>
  <c r="N25"/>
  <c r="M25"/>
  <c r="O25" s="1"/>
  <c r="C25"/>
  <c r="N67" s="1"/>
  <c r="O67" s="1"/>
  <c r="T24"/>
  <c r="S24" s="1"/>
  <c r="R24"/>
  <c r="M75" s="1"/>
  <c r="C24"/>
  <c r="T23"/>
  <c r="R23"/>
  <c r="C23"/>
  <c r="R22"/>
  <c r="C22"/>
  <c r="N44" s="1"/>
  <c r="O44" s="1"/>
  <c r="T21"/>
  <c r="S21"/>
  <c r="R21"/>
  <c r="C21"/>
  <c r="T20"/>
  <c r="S20"/>
  <c r="N60" s="1"/>
  <c r="O60" s="1"/>
  <c r="R20"/>
  <c r="M58" s="1"/>
  <c r="M20"/>
  <c r="C20"/>
  <c r="N34" s="1"/>
  <c r="O34" s="1"/>
  <c r="T19"/>
  <c r="S19" s="1"/>
  <c r="R19"/>
  <c r="M50" s="1"/>
  <c r="N19"/>
  <c r="O19" s="1"/>
  <c r="M19"/>
  <c r="C19"/>
  <c r="N28" s="1"/>
  <c r="O28" s="1"/>
  <c r="T18"/>
  <c r="S18"/>
  <c r="R18"/>
  <c r="N18"/>
  <c r="M18"/>
  <c r="O18" s="1"/>
  <c r="D18"/>
  <c r="C18"/>
  <c r="N17" s="1"/>
  <c r="O17" s="1"/>
  <c r="T17"/>
  <c r="S17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T5" s="1"/>
  <c r="D5"/>
  <c r="C40" i="1"/>
  <c r="D38"/>
  <c r="B38"/>
  <c r="B39" s="1"/>
  <c r="C37"/>
  <c r="C36"/>
  <c r="C35"/>
  <c r="C34"/>
  <c r="D33"/>
  <c r="D32"/>
  <c r="D31"/>
  <c r="D30"/>
  <c r="D29"/>
  <c r="C28"/>
  <c r="D27"/>
  <c r="D26"/>
  <c r="D25"/>
  <c r="D24"/>
  <c r="T23"/>
  <c r="S23"/>
  <c r="O37" s="1"/>
  <c r="P37" s="1"/>
  <c r="R23"/>
  <c r="N37" s="1"/>
  <c r="D23"/>
  <c r="C23"/>
  <c r="B23"/>
  <c r="B42" s="1"/>
  <c r="D22"/>
  <c r="T21"/>
  <c r="R21"/>
  <c r="N21"/>
  <c r="D21"/>
  <c r="T20"/>
  <c r="S20"/>
  <c r="O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T16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O6" s="1"/>
  <c r="D6"/>
  <c r="T5"/>
  <c r="R5"/>
  <c r="D5"/>
  <c r="O3"/>
  <c r="J4" l="1"/>
  <c r="J12"/>
  <c r="J13" s="1"/>
  <c r="R22"/>
  <c r="D39"/>
  <c r="T22" s="1"/>
  <c r="T18"/>
  <c r="S18" s="1"/>
  <c r="R18"/>
  <c r="N10"/>
  <c r="P10" s="1"/>
  <c r="N51" i="2"/>
  <c r="O51" s="1"/>
  <c r="N52"/>
  <c r="O52" s="1"/>
  <c r="N50"/>
  <c r="O50" s="1"/>
  <c r="J7"/>
  <c r="J8" s="1"/>
  <c r="J4"/>
  <c r="D42" i="1"/>
  <c r="R32"/>
  <c r="O20"/>
  <c r="P20" s="1"/>
  <c r="O21"/>
  <c r="P21" s="1"/>
  <c r="P23" s="1"/>
  <c r="O19"/>
  <c r="P19" s="1"/>
  <c r="N76" i="2"/>
  <c r="O76" s="1"/>
  <c r="N74"/>
  <c r="N75"/>
  <c r="O75" s="1"/>
  <c r="N73"/>
  <c r="O9"/>
  <c r="O14" s="1"/>
  <c r="N4"/>
  <c r="N3" i="1"/>
  <c r="P3" s="1"/>
  <c r="P29"/>
  <c r="O22" i="2"/>
  <c r="O54"/>
  <c r="O57"/>
  <c r="H37" i="5"/>
  <c r="H36"/>
  <c r="I36" s="1"/>
  <c r="K36" s="1"/>
  <c r="G13" i="10"/>
  <c r="K4"/>
  <c r="G12" i="12"/>
  <c r="K4"/>
  <c r="O26" i="1"/>
  <c r="O27"/>
  <c r="P27" s="1"/>
  <c r="O28"/>
  <c r="N34"/>
  <c r="N35"/>
  <c r="N36"/>
  <c r="N26" i="2"/>
  <c r="O26" s="1"/>
  <c r="O30" s="1"/>
  <c r="N27"/>
  <c r="O27" s="1"/>
  <c r="N35"/>
  <c r="O35" s="1"/>
  <c r="O38" s="1"/>
  <c r="N36"/>
  <c r="O36" s="1"/>
  <c r="R36"/>
  <c r="N43"/>
  <c r="O43" s="1"/>
  <c r="N59"/>
  <c r="O59" s="1"/>
  <c r="N66"/>
  <c r="O66" s="1"/>
  <c r="O70" s="1"/>
  <c r="N68"/>
  <c r="O68" s="1"/>
  <c r="M74"/>
  <c r="M76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I37" i="5"/>
  <c r="K37" s="1"/>
  <c r="P8" i="8"/>
  <c r="P11" s="1"/>
  <c r="P9" i="14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G12" i="8"/>
  <c r="K4"/>
  <c r="P6" i="1"/>
  <c r="N26"/>
  <c r="N27"/>
  <c r="N28"/>
  <c r="O34"/>
  <c r="O35"/>
  <c r="P35" s="1"/>
  <c r="O36"/>
  <c r="D31" i="2"/>
  <c r="T22" s="1"/>
  <c r="T36" s="1"/>
  <c r="N42"/>
  <c r="O42" s="1"/>
  <c r="O46" s="1"/>
  <c r="N58"/>
  <c r="O58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K4" i="4"/>
  <c r="J14" i="5"/>
  <c r="E9" i="7"/>
  <c r="O17" i="14"/>
  <c r="P17" s="1"/>
  <c r="O16"/>
  <c r="P16" s="1"/>
  <c r="N8" i="20"/>
  <c r="N3"/>
  <c r="P3" s="1"/>
  <c r="O24" i="28"/>
  <c r="P24" s="1"/>
  <c r="O26"/>
  <c r="P26" s="1"/>
  <c r="O25"/>
  <c r="P23"/>
  <c r="O3"/>
  <c r="O6" i="4"/>
  <c r="P6" s="1"/>
  <c r="L38" i="5"/>
  <c r="E62"/>
  <c r="T6" i="9"/>
  <c r="T17" s="1"/>
  <c r="O7"/>
  <c r="P7" s="1"/>
  <c r="P12" s="1"/>
  <c r="O8"/>
  <c r="P8" s="1"/>
  <c r="O9"/>
  <c r="P9" s="1"/>
  <c r="U5" i="10"/>
  <c r="N7"/>
  <c r="P7" s="1"/>
  <c r="O8"/>
  <c r="O9"/>
  <c r="P9" s="1"/>
  <c r="R14"/>
  <c r="O6" i="11"/>
  <c r="P6" s="1"/>
  <c r="P12" s="1"/>
  <c r="O8"/>
  <c r="P8" s="1"/>
  <c r="U5" i="12"/>
  <c r="O9"/>
  <c r="P9" s="1"/>
  <c r="O15"/>
  <c r="P15" s="1"/>
  <c r="O17"/>
  <c r="P17" s="1"/>
  <c r="G12" i="15"/>
  <c r="G13" i="16"/>
  <c r="O7"/>
  <c r="S7"/>
  <c r="B14"/>
  <c r="K4" i="21"/>
  <c r="K4" i="26"/>
  <c r="K4" i="27"/>
  <c r="G41" i="28"/>
  <c r="T5" i="32"/>
  <c r="T32" s="1"/>
  <c r="G17" i="14"/>
  <c r="T5"/>
  <c r="N8"/>
  <c r="P8" s="1"/>
  <c r="N6"/>
  <c r="P6" s="1"/>
  <c r="N9" i="15"/>
  <c r="N7"/>
  <c r="P7" s="1"/>
  <c r="J4"/>
  <c r="K4" s="1"/>
  <c r="O9" i="16"/>
  <c r="O8"/>
  <c r="G9" i="19"/>
  <c r="K4"/>
  <c r="O8" i="24"/>
  <c r="P8" s="1"/>
  <c r="O6"/>
  <c r="P6" s="1"/>
  <c r="O7"/>
  <c r="P7" s="1"/>
  <c r="R41" i="28"/>
  <c r="T5"/>
  <c r="T41" s="1"/>
  <c r="W41" s="1"/>
  <c r="O16"/>
  <c r="O17"/>
  <c r="P17" s="1"/>
  <c r="K4" i="29"/>
  <c r="G12"/>
  <c r="Q9"/>
  <c r="Q8"/>
  <c r="Q7"/>
  <c r="G8" i="4"/>
  <c r="S5" i="8"/>
  <c r="T6"/>
  <c r="T13" s="1"/>
  <c r="N8"/>
  <c r="N6" i="10"/>
  <c r="P6" s="1"/>
  <c r="N8"/>
  <c r="K4" i="11"/>
  <c r="O7"/>
  <c r="P7" s="1"/>
  <c r="N8" i="12"/>
  <c r="P8" s="1"/>
  <c r="P11" s="1"/>
  <c r="O14"/>
  <c r="P14" s="1"/>
  <c r="S5" i="13"/>
  <c r="O7"/>
  <c r="P7" s="1"/>
  <c r="P12" s="1"/>
  <c r="O8"/>
  <c r="P8" s="1"/>
  <c r="T8" i="14"/>
  <c r="N9"/>
  <c r="O14"/>
  <c r="O15"/>
  <c r="P15" s="1"/>
  <c r="D17"/>
  <c r="K4" s="1"/>
  <c r="P9" i="15"/>
  <c r="P8" i="20"/>
  <c r="O6" i="23"/>
  <c r="P6" s="1"/>
  <c r="K4" i="24"/>
  <c r="N3" i="28"/>
  <c r="O6" i="18"/>
  <c r="O8"/>
  <c r="O9"/>
  <c r="P9" s="1"/>
  <c r="T7" i="20"/>
  <c r="S7" s="1"/>
  <c r="O7" i="21"/>
  <c r="O9"/>
  <c r="P9" s="1"/>
  <c r="R21"/>
  <c r="B17" i="22"/>
  <c r="J4" s="1"/>
  <c r="E35" i="23"/>
  <c r="T6" i="24"/>
  <c r="T17" s="1"/>
  <c r="O15"/>
  <c r="P15" s="1"/>
  <c r="O6" i="25"/>
  <c r="O8"/>
  <c r="O9"/>
  <c r="P9" s="1"/>
  <c r="T22" i="26"/>
  <c r="N16" i="28"/>
  <c r="B41"/>
  <c r="J4" s="1"/>
  <c r="K4" s="1"/>
  <c r="O6" i="29"/>
  <c r="P6" s="1"/>
  <c r="O7"/>
  <c r="P7" s="1"/>
  <c r="O8"/>
  <c r="P8" s="1"/>
  <c r="O7" i="30"/>
  <c r="P7" s="1"/>
  <c r="T5" i="31"/>
  <c r="O6"/>
  <c r="O9"/>
  <c r="P9" s="1"/>
  <c r="S5" i="32"/>
  <c r="O6"/>
  <c r="O8"/>
  <c r="P8" s="1"/>
  <c r="N9"/>
  <c r="P9" s="1"/>
  <c r="C11"/>
  <c r="R32"/>
  <c r="O7" i="33"/>
  <c r="P7" s="1"/>
  <c r="O6" i="34"/>
  <c r="P6" s="1"/>
  <c r="O8"/>
  <c r="P8" s="1"/>
  <c r="O9"/>
  <c r="P9" s="1"/>
  <c r="T9" i="14"/>
  <c r="N14"/>
  <c r="N23"/>
  <c r="N25"/>
  <c r="O6" i="15"/>
  <c r="P6" s="1"/>
  <c r="N7" i="17"/>
  <c r="P7" s="1"/>
  <c r="P11" s="1"/>
  <c r="N6" i="18"/>
  <c r="N8"/>
  <c r="O6" i="19"/>
  <c r="P6" s="1"/>
  <c r="O8"/>
  <c r="P8" s="1"/>
  <c r="P6" i="20"/>
  <c r="O6" i="21"/>
  <c r="T6"/>
  <c r="S6" s="1"/>
  <c r="N7"/>
  <c r="C9" i="23"/>
  <c r="R9"/>
  <c r="S9" s="1"/>
  <c r="R24"/>
  <c r="R25"/>
  <c r="N7" i="24"/>
  <c r="O14"/>
  <c r="P14" s="1"/>
  <c r="P20" s="1"/>
  <c r="O16"/>
  <c r="P16" s="1"/>
  <c r="N6" i="25"/>
  <c r="N8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C6" i="28"/>
  <c r="N9"/>
  <c r="P9" s="1"/>
  <c r="P11" s="1"/>
  <c r="N25"/>
  <c r="O6" i="30"/>
  <c r="P6" s="1"/>
  <c r="P11" s="1"/>
  <c r="O8"/>
  <c r="P8" s="1"/>
  <c r="O7" i="31"/>
  <c r="P7" s="1"/>
  <c r="P11" s="1"/>
  <c r="O7" i="32"/>
  <c r="O6" i="33"/>
  <c r="P6" s="1"/>
  <c r="P11" s="1"/>
  <c r="O8"/>
  <c r="P8" s="1"/>
  <c r="P11" i="10" l="1"/>
  <c r="P11" i="14"/>
  <c r="N3" i="21"/>
  <c r="P6"/>
  <c r="O3"/>
  <c r="P3" s="1"/>
  <c r="P6" i="32"/>
  <c r="P12" s="1"/>
  <c r="N3"/>
  <c r="O3"/>
  <c r="S5" i="31"/>
  <c r="T18"/>
  <c r="T37" i="14"/>
  <c r="S5"/>
  <c r="I42" i="1"/>
  <c r="G7"/>
  <c r="O13"/>
  <c r="P13" s="1"/>
  <c r="O12"/>
  <c r="P12" s="1"/>
  <c r="O11"/>
  <c r="P11" s="1"/>
  <c r="O3" i="31"/>
  <c r="N3"/>
  <c r="N7" i="16"/>
  <c r="N9"/>
  <c r="P9" s="1"/>
  <c r="N8"/>
  <c r="N6"/>
  <c r="P6" s="1"/>
  <c r="J4"/>
  <c r="K4" s="1"/>
  <c r="M38" i="5"/>
  <c r="L39"/>
  <c r="H41"/>
  <c r="I41" s="1"/>
  <c r="K41" s="1"/>
  <c r="H38"/>
  <c r="O4" i="2"/>
  <c r="M4"/>
  <c r="P11" i="26"/>
  <c r="P11" i="34"/>
  <c r="P11" i="29"/>
  <c r="P6" i="25"/>
  <c r="P7" i="21"/>
  <c r="P8" i="18"/>
  <c r="P14" i="14"/>
  <c r="P19" s="1"/>
  <c r="W32" i="32"/>
  <c r="O62" i="2"/>
  <c r="P15" i="1"/>
  <c r="P19" i="26"/>
  <c r="P11" i="20"/>
  <c r="P11" i="19"/>
  <c r="P11" i="15"/>
  <c r="P8" i="25"/>
  <c r="R37" i="23"/>
  <c r="T21" i="20"/>
  <c r="P6" i="18"/>
  <c r="P11" s="1"/>
  <c r="P19" i="12"/>
  <c r="P16" i="28"/>
  <c r="P19" s="1"/>
  <c r="P11" i="24"/>
  <c r="P8" i="16"/>
  <c r="T21" i="21"/>
  <c r="P7" i="16"/>
  <c r="P8" i="10"/>
  <c r="P3" i="28"/>
  <c r="P25"/>
  <c r="P28" s="1"/>
  <c r="P36" i="1"/>
  <c r="P34"/>
  <c r="P28"/>
  <c r="P26"/>
  <c r="D37" i="2"/>
  <c r="G36" s="1"/>
  <c r="O73"/>
  <c r="O74"/>
  <c r="T32" i="1"/>
  <c r="K4" i="2"/>
  <c r="N11" i="1"/>
  <c r="K4"/>
  <c r="H39" i="5" l="1"/>
  <c r="I39" s="1"/>
  <c r="K39" s="1"/>
  <c r="I38"/>
  <c r="K38" s="1"/>
  <c r="J13" s="1"/>
  <c r="M39"/>
  <c r="L41"/>
  <c r="M41" s="1"/>
  <c r="M46" s="1"/>
  <c r="O24" i="14"/>
  <c r="P24" s="1"/>
  <c r="O22"/>
  <c r="P22" s="1"/>
  <c r="O25"/>
  <c r="P25" s="1"/>
  <c r="O23"/>
  <c r="P23" s="1"/>
  <c r="P12" i="16"/>
  <c r="O78" i="2"/>
  <c r="P31" i="1"/>
  <c r="P39"/>
  <c r="P11" i="25"/>
  <c r="P3" i="31"/>
  <c r="P3" i="32"/>
  <c r="P11" i="21"/>
  <c r="O46" i="5" l="1"/>
  <c r="P46" s="1"/>
  <c r="J15"/>
  <c r="J16" s="1"/>
  <c r="P27" i="14"/>
  <c r="K14" i="5"/>
</calcChain>
</file>

<file path=xl/sharedStrings.xml><?xml version="1.0" encoding="utf-8"?>
<sst xmlns="http://schemas.openxmlformats.org/spreadsheetml/2006/main" count="710" uniqueCount="90">
  <si>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</si>
  <si>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</si>
  <si>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</si>
  <si>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</si>
  <si>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</si>
  <si>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</si>
  <si>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</si>
  <si>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</si>
  <si>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</si>
  <si>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</si>
  <si>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</si>
  <si>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</si>
  <si>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</si>
  <si>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</si>
  <si>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</si>
  <si>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</si>
  <si>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</si>
  <si>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</si>
  <si>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</si>
  <si>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</si>
  <si>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</si>
  <si>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</si>
  <si>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</si>
  <si>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</si>
  <si>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</si>
  <si>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</si>
  <si>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</si>
  <si>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</si>
  <si>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</si>
  <si>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</si>
  <si>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</si>
  <si>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</si>
  <si>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</si>
  <si>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</si>
  <si>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</si>
  <si>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</si>
  <si>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</si>
  <si>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</si>
  <si>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</si>
  <si>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</si>
  <si>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</si>
  <si>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</si>
  <si>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</si>
  <si>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</si>
  <si>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</si>
  <si>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</si>
  <si>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</si>
  <si>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</si>
  <si>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</si>
  <si>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</si>
  <si>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</si>
  <si>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</si>
  <si>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</si>
  <si>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</si>
  <si>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</si>
  <si>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</si>
  <si>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</si>
  <si>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</si>
  <si>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</si>
  <si>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</si>
  <si>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</si>
  <si>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</si>
  <si>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</si>
  <si>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</si>
  <si>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</si>
  <si>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</si>
  <si>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</si>
  <si>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</si>
  <si>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</si>
  <si>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</si>
  <si>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</si>
  <si>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</si>
  <si>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</si>
  <si>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</si>
  <si>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</si>
  <si>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</si>
  <si>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</si>
  <si>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</si>
  <si>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</si>
  <si>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</si>
  <si>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</si>
  <si>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</si>
  <si>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</si>
  <si>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</si>
  <si>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</si>
  <si>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</si>
  <si>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</si>
  <si>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</si>
  <si>
    <t>DCA1 2/5</t>
  </si>
  <si>
    <t>Ph 3/5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</si>
</sst>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6043776"/>
        <c:axId val="76045696"/>
      </c:lineChart>
      <c:dateAx>
        <c:axId val="76043776"/>
        <c:scaling>
          <c:orientation val="minMax"/>
        </c:scaling>
        <c:axPos val="b"/>
        <c:numFmt formatCode="dd/mm/yy;@" sourceLinked="1"/>
        <c:majorTickMark val="none"/>
        <c:tickLblPos val="nextTo"/>
        <c:crossAx val="76045696"/>
        <c:crosses val="autoZero"/>
        <c:lblOffset val="100"/>
      </c:dateAx>
      <c:valAx>
        <c:axId val="7604569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60437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2" workbookViewId="0">
      <selection activeCell="B35" sqref="B35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1792.002439654096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949.44819435041438</v>
      </c>
      <c r="K4" s="4">
        <f>(J4/D42-1)</f>
        <v>-0.3444933799050014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2733.7671119086363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5.7892300000000002E-3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3.7829444000000004E-2</v>
      </c>
      <c r="O11" s="39">
        <f>($S$18*Params!K16)</f>
        <v>3293.1943800890103</v>
      </c>
      <c r="P11" s="23">
        <f>(O11*N11)</f>
        <v>124.57971238269194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5.7892300000000002E-3</v>
      </c>
      <c r="C12" s="40">
        <v>0</v>
      </c>
      <c r="D12" s="26">
        <f t="shared" si="0"/>
        <v>0</v>
      </c>
      <c r="E12" s="38">
        <f>(B12*J3)</f>
        <v>10.374314283718682</v>
      </c>
      <c r="I12" t="s">
        <v>13</v>
      </c>
      <c r="J12">
        <f>(J11-B42)</f>
        <v>7.0174720000000024E-2</v>
      </c>
      <c r="N12">
        <f>($B$35/5)</f>
        <v>2.1237222E-2</v>
      </c>
      <c r="O12" s="39">
        <f>($S$18*Params!K17)</f>
        <v>6586.3887601780207</v>
      </c>
      <c r="P12" s="23">
        <f>(O12*N12)</f>
        <v>139.87660027820539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125.75326944204312</v>
      </c>
      <c r="N13">
        <f>($B$35/5)</f>
        <v>2.1237222E-2</v>
      </c>
      <c r="O13" s="39">
        <f>($S$18*Params!K18)</f>
        <v>13172.777520356041</v>
      </c>
      <c r="P13" s="23">
        <f>(O13*N13)</f>
        <v>279.75320055641077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551.66473821730813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0.10154111</v>
      </c>
      <c r="S18" s="39">
        <f>(T18/R18)</f>
        <v>1646.5971900445052</v>
      </c>
      <c r="T18" s="23">
        <f>(D35+1283.68*B39)</f>
        <v>167.1973064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8.0016959999999991E-3</v>
      </c>
      <c r="O19" s="39">
        <f>($S$19*Params!K16)</f>
        <v>3380.9957059578178</v>
      </c>
      <c r="P19" s="23">
        <f>(O19*N19)</f>
        <v>27.053699816379844</v>
      </c>
      <c r="R19" s="24">
        <f>(B36+B38)</f>
        <v>2.1061739999999999E-2</v>
      </c>
      <c r="S19" s="39">
        <f>(T19/R19)</f>
        <v>1690.4978529789089</v>
      </c>
      <c r="T19" s="23">
        <f>(D36+1269.75*B38)</f>
        <v>35.604826250000002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4.3533479999999999E-3</v>
      </c>
      <c r="O20" s="39">
        <f>($S$19*Params!K17)</f>
        <v>6761.9914119156356</v>
      </c>
      <c r="P20" s="23">
        <f>(O20*N20)</f>
        <v>29.437301789080109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4.3533479999999999E-3</v>
      </c>
      <c r="O21" s="39">
        <f>($S$19*Params!K18)</f>
        <v>13523.982823831271</v>
      </c>
      <c r="P21" s="23">
        <f>(O21*N21)</f>
        <v>58.874603578160219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116.49713018362017</v>
      </c>
      <c r="R23" s="24">
        <f>(B40)</f>
        <v>4.8666630000000002E-2</v>
      </c>
      <c r="S23" s="39">
        <f>(T23/R23)</f>
        <v>1819.5219188178839</v>
      </c>
      <c r="T23" s="23">
        <f>(D40)</f>
        <v>88.55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0.52982527999999995</v>
      </c>
      <c r="T32" s="23">
        <f>(SUM(T5:T31))</f>
        <v>1448.4189255217841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9.7333260000000005E-3</v>
      </c>
      <c r="O34" s="39">
        <f>($S$23*Params!K15)</f>
        <v>2729.2828782268261</v>
      </c>
      <c r="P34" s="23">
        <f>(O34*N34)</f>
        <v>26.565000000000001</v>
      </c>
    </row>
    <row r="35" spans="2:16">
      <c r="B35" s="24">
        <v>0.10618611</v>
      </c>
      <c r="C35" s="39">
        <f>(D35/B35)</f>
        <v>1630.7217582412616</v>
      </c>
      <c r="D35" s="23">
        <v>173.16</v>
      </c>
      <c r="E35" t="s">
        <v>10</v>
      </c>
      <c r="N35">
        <f>($R$23/5)</f>
        <v>9.7333260000000005E-3</v>
      </c>
      <c r="O35" s="39">
        <f>($S$23*Params!K16)</f>
        <v>3639.0438376357679</v>
      </c>
      <c r="P35" s="23">
        <f>(O35*N35)</f>
        <v>35.42</v>
      </c>
    </row>
    <row r="36" spans="2:16">
      <c r="B36" s="24">
        <v>2.176674E-2</v>
      </c>
      <c r="C36" s="39">
        <f>(D36/B36)</f>
        <v>1676.8703076344918</v>
      </c>
      <c r="D36" s="23">
        <v>36.5</v>
      </c>
      <c r="E36" t="s">
        <v>15</v>
      </c>
      <c r="N36">
        <f>($R$23/5)</f>
        <v>9.7333260000000005E-3</v>
      </c>
      <c r="O36" s="39">
        <f>($S$23*Params!K17)</f>
        <v>7278.0876752715358</v>
      </c>
      <c r="P36" s="23">
        <f>(O36*N36)</f>
        <v>70.84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9.7333260000000005E-3</v>
      </c>
      <c r="O37" s="39">
        <f>($S$23*Params!K18)</f>
        <v>14556.175350543072</v>
      </c>
      <c r="P37" s="23">
        <f>(O37*N37)</f>
        <v>141.68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274.505</v>
      </c>
    </row>
    <row r="40" spans="2:16">
      <c r="B40" s="24">
        <v>4.8666630000000002E-2</v>
      </c>
      <c r="C40" s="39">
        <f>(D40/B40)</f>
        <v>1819.5219188178839</v>
      </c>
      <c r="D40" s="23">
        <v>88.55</v>
      </c>
      <c r="E40" t="s">
        <v>18</v>
      </c>
    </row>
    <row r="42" spans="2:16">
      <c r="B42">
        <f>(SUM(B5:B41))</f>
        <v>0.52982527999999995</v>
      </c>
      <c r="D42" s="23">
        <f>(SUM(D5:D41))</f>
        <v>1448.4189255217843</v>
      </c>
      <c r="H42" t="s">
        <v>9</v>
      </c>
      <c r="I42" s="39">
        <f>D42/B42</f>
        <v>2733.7671119086363</v>
      </c>
    </row>
  </sheetData>
  <conditionalFormatting sqref="C5:C7 C11 C18:C24">
    <cfRule type="cellIs" dxfId="291" priority="37" operator="lessThan">
      <formula>$J$3</formula>
    </cfRule>
    <cfRule type="cellIs" dxfId="290" priority="38" operator="greaterThan">
      <formula>$J$3</formula>
    </cfRule>
  </conditionalFormatting>
  <conditionalFormatting sqref="C25">
    <cfRule type="cellIs" dxfId="289" priority="35" operator="lessThan">
      <formula>$J$3</formula>
    </cfRule>
    <cfRule type="cellIs" dxfId="288" priority="36" operator="greaterThan">
      <formula>$J$3</formula>
    </cfRule>
  </conditionalFormatting>
  <conditionalFormatting sqref="C27">
    <cfRule type="cellIs" dxfId="287" priority="33" operator="lessThan">
      <formula>$J$3</formula>
    </cfRule>
    <cfRule type="cellIs" dxfId="286" priority="34" operator="greaterThan">
      <formula>$J$3</formula>
    </cfRule>
  </conditionalFormatting>
  <conditionalFormatting sqref="C29">
    <cfRule type="cellIs" dxfId="285" priority="31" operator="lessThan">
      <formula>$J$3</formula>
    </cfRule>
    <cfRule type="cellIs" dxfId="284" priority="32" operator="greaterThan">
      <formula>$J$3</formula>
    </cfRule>
  </conditionalFormatting>
  <conditionalFormatting sqref="C31">
    <cfRule type="cellIs" dxfId="283" priority="29" operator="lessThan">
      <formula>$J$3</formula>
    </cfRule>
    <cfRule type="cellIs" dxfId="282" priority="30" operator="greaterThan">
      <formula>$J$3</formula>
    </cfRule>
  </conditionalFormatting>
  <conditionalFormatting sqref="C33">
    <cfRule type="cellIs" dxfId="281" priority="27" operator="lessThan">
      <formula>$J$3</formula>
    </cfRule>
    <cfRule type="cellIs" dxfId="280" priority="28" operator="greaterThan">
      <formula>$J$3</formula>
    </cfRule>
  </conditionalFormatting>
  <conditionalFormatting sqref="C35:C37">
    <cfRule type="cellIs" dxfId="279" priority="25" operator="lessThan">
      <formula>$J$3</formula>
    </cfRule>
    <cfRule type="cellIs" dxfId="278" priority="26" operator="greaterThan">
      <formula>$J$3</formula>
    </cfRule>
  </conditionalFormatting>
  <conditionalFormatting sqref="C40">
    <cfRule type="cellIs" dxfId="277" priority="23" operator="lessThan">
      <formula>$J$3</formula>
    </cfRule>
    <cfRule type="cellIs" dxfId="276" priority="24" operator="greaterThan">
      <formula>$J$3</formula>
    </cfRule>
  </conditionalFormatting>
  <conditionalFormatting sqref="I42">
    <cfRule type="cellIs" dxfId="275" priority="21" operator="lessThan">
      <formula>$J$3</formula>
    </cfRule>
    <cfRule type="cellIs" dxfId="274" priority="22" operator="greaterThan">
      <formula>$J$3</formula>
    </cfRule>
  </conditionalFormatting>
  <conditionalFormatting sqref="O11:O13">
    <cfRule type="cellIs" dxfId="273" priority="19" operator="lessThan">
      <formula>$J$3</formula>
    </cfRule>
    <cfRule type="cellIs" dxfId="272" priority="20" operator="greaterThan">
      <formula>$J$3</formula>
    </cfRule>
  </conditionalFormatting>
  <conditionalFormatting sqref="O19:O21">
    <cfRule type="cellIs" dxfId="271" priority="17" operator="lessThan">
      <formula>$J$3</formula>
    </cfRule>
    <cfRule type="cellIs" dxfId="270" priority="18" operator="greaterThan">
      <formula>$J$3</formula>
    </cfRule>
  </conditionalFormatting>
  <conditionalFormatting sqref="O26:O29">
    <cfRule type="cellIs" dxfId="269" priority="15" operator="lessThan">
      <formula>$J$3</formula>
    </cfRule>
    <cfRule type="cellIs" dxfId="268" priority="16" operator="greaterThan">
      <formula>$J$3</formula>
    </cfRule>
  </conditionalFormatting>
  <conditionalFormatting sqref="O34:O37">
    <cfRule type="cellIs" dxfId="267" priority="13" operator="lessThan">
      <formula>$J$3</formula>
    </cfRule>
    <cfRule type="cellIs" dxfId="266" priority="14" operator="greaterThan">
      <formula>$J$3</formula>
    </cfRule>
  </conditionalFormatting>
  <conditionalFormatting sqref="N6">
    <cfRule type="cellIs" dxfId="265" priority="11" operator="lessThan">
      <formula>$J$3</formula>
    </cfRule>
    <cfRule type="cellIs" dxfId="264" priority="12" operator="greaterThan">
      <formula>$J$3</formula>
    </cfRule>
  </conditionalFormatting>
  <conditionalFormatting sqref="O3">
    <cfRule type="cellIs" dxfId="263" priority="9" operator="greaterThan">
      <formula>$J$3</formula>
    </cfRule>
    <cfRule type="cellIs" dxfId="262" priority="10" operator="lessThan">
      <formula>$J$3</formula>
    </cfRule>
  </conditionalFormatting>
  <conditionalFormatting sqref="S5:S7">
    <cfRule type="cellIs" dxfId="261" priority="7" operator="lessThan">
      <formula>$J$3</formula>
    </cfRule>
    <cfRule type="cellIs" dxfId="260" priority="8" operator="greaterThan">
      <formula>$J$3</formula>
    </cfRule>
  </conditionalFormatting>
  <conditionalFormatting sqref="S10:S15">
    <cfRule type="cellIs" dxfId="259" priority="5" operator="lessThan">
      <formula>$J$3</formula>
    </cfRule>
    <cfRule type="cellIs" dxfId="258" priority="6" operator="greaterThan">
      <formula>$J$3</formula>
    </cfRule>
  </conditionalFormatting>
  <conditionalFormatting sqref="S18:S20">
    <cfRule type="cellIs" dxfId="257" priority="3" operator="lessThan">
      <formula>$J$3</formula>
    </cfRule>
    <cfRule type="cellIs" dxfId="256" priority="4" operator="greaterThan">
      <formula>$J$3</formula>
    </cfRule>
  </conditionalFormatting>
  <conditionalFormatting sqref="S23">
    <cfRule type="cellIs" dxfId="255" priority="1" operator="lessThan">
      <formula>$J$3</formula>
    </cfRule>
    <cfRule type="cellIs" dxfId="254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1.382991647591213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16.049766728068224</v>
      </c>
      <c r="K4" s="4">
        <f>(J4/D14-1)</f>
        <v>-0.55553639545689704</v>
      </c>
      <c r="R4" t="s">
        <v>5</v>
      </c>
      <c r="S4" t="s">
        <v>6</v>
      </c>
      <c r="T4" t="s">
        <v>7</v>
      </c>
    </row>
    <row r="5" spans="2:21">
      <c r="B5" s="29">
        <v>10.988616759999999</v>
      </c>
      <c r="C5" s="38">
        <f>(D5/B5)</f>
        <v>3.3034185096104851</v>
      </c>
      <c r="D5" s="38">
        <v>36.299999999999997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0.55054899000000002</v>
      </c>
      <c r="S5" s="40">
        <v>0</v>
      </c>
      <c r="T5" s="26">
        <f>(D6)</f>
        <v>0</v>
      </c>
      <c r="U5" s="38">
        <f>(R5*J3)</f>
        <v>0.76140465475977825</v>
      </c>
    </row>
    <row r="6" spans="2:21">
      <c r="B6" s="36">
        <v>0.55054899000000002</v>
      </c>
      <c r="C6" s="40">
        <v>0</v>
      </c>
      <c r="D6" s="26">
        <f>(B6*C6)</f>
        <v>0</v>
      </c>
      <c r="E6" s="38">
        <f>(B6*J3)</f>
        <v>0.76140465475977825</v>
      </c>
      <c r="M6" t="s">
        <v>11</v>
      </c>
      <c r="N6" s="29">
        <f>(SUM(R5:R7)/5)</f>
        <v>2.3210214979999995</v>
      </c>
      <c r="O6" s="38">
        <f>($C$5*Params!K8)</f>
        <v>4.2944440624936311</v>
      </c>
      <c r="P6" s="38">
        <f>(O6*N6)</f>
        <v>9.9674969910061701</v>
      </c>
      <c r="R6" s="29">
        <f>(B5)</f>
        <v>10.988616759999999</v>
      </c>
      <c r="S6" s="38">
        <f>(T6/R6)</f>
        <v>3.3034185096104851</v>
      </c>
      <c r="T6" s="38">
        <f>(D5)</f>
        <v>36.299999999999997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2.3210214979999995</v>
      </c>
      <c r="O7" s="38">
        <f>($C$5*Params!K9)</f>
        <v>5.2854696153767762</v>
      </c>
      <c r="P7" s="38">
        <f>(O7*N7)</f>
        <v>12.267688604315286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0.28077846564763131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2.3210214979999995</v>
      </c>
      <c r="O8" s="38">
        <f>($C$5*Params!K10)</f>
        <v>7.2675207211430681</v>
      </c>
      <c r="P8" s="38">
        <f>(O8*N8)</f>
        <v>16.86807183093352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2.3210214979999995</v>
      </c>
      <c r="O9" s="38">
        <f>($C$5*Params!K11)</f>
        <v>13.21367403844194</v>
      </c>
      <c r="P9" s="38">
        <f>(O9*N9)</f>
        <v>30.669221510788216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69.772478937043189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3.1115970654400202</v>
      </c>
    </row>
    <row r="14" spans="2:21">
      <c r="B14" s="29">
        <f>(SUM(B5:B13))</f>
        <v>11.60510749</v>
      </c>
      <c r="D14" s="38">
        <f>(SUM(D5:D13))</f>
        <v>36.110418410000001</v>
      </c>
      <c r="R14" s="29">
        <f>(SUM(R5:R13))</f>
        <v>11.605107489999998</v>
      </c>
      <c r="T14" s="38">
        <f>(SUM(T5:T13))</f>
        <v>36.110418409999994</v>
      </c>
    </row>
    <row r="22" spans="4:4">
      <c r="D22" s="29"/>
    </row>
  </sheetData>
  <conditionalFormatting sqref="C5 C7:C12">
    <cfRule type="cellIs" dxfId="191" priority="7" operator="lessThan">
      <formula>$J$3</formula>
    </cfRule>
    <cfRule type="cellIs" dxfId="190" priority="8" operator="greaterThan">
      <formula>$J$3</formula>
    </cfRule>
  </conditionalFormatting>
  <conditionalFormatting sqref="O6:O9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S6:S7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7.2070396407500192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8.7868886023447406</v>
      </c>
      <c r="K4" s="4">
        <f>(J4/D14-1)</f>
        <v>-0.19607606565921865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0.63375874234176854</v>
      </c>
      <c r="M6" t="s">
        <v>11</v>
      </c>
      <c r="N6" s="1">
        <f>(SUM($B$5:$B$7)/5)</f>
        <v>0.24384182800000001</v>
      </c>
      <c r="O6" s="38">
        <f>($C$5*Params!K8)</f>
        <v>12.800900900900901</v>
      </c>
      <c r="P6" s="38">
        <f>(O6*N6)</f>
        <v>3.1213950757225226</v>
      </c>
    </row>
    <row r="7" spans="2:16">
      <c r="B7" s="36">
        <v>2.1273070000000002E-2</v>
      </c>
      <c r="C7" s="40">
        <v>0</v>
      </c>
      <c r="D7" s="26">
        <f>(C7*B7)</f>
        <v>0</v>
      </c>
      <c r="E7" s="38">
        <f>(B7*J4)</f>
        <v>0.18692409631988186</v>
      </c>
      <c r="N7" s="1">
        <f>(SUM($B$5:$B$7)/5)</f>
        <v>0.24384182800000001</v>
      </c>
      <c r="O7" s="38">
        <f>($C$5*Params!K9)</f>
        <v>15.754954954954954</v>
      </c>
      <c r="P7" s="38">
        <f>(O7*N7)</f>
        <v>3.8417170162738739</v>
      </c>
    </row>
    <row r="8" spans="2:16">
      <c r="N8" s="1">
        <f>(SUM($B$5:$B$7)/5)</f>
        <v>0.24384182800000001</v>
      </c>
      <c r="O8" s="38">
        <f>($C$5*Params!K10)</f>
        <v>21.663063063063063</v>
      </c>
      <c r="P8" s="38">
        <f>(O8*N8)</f>
        <v>5.2823608973765772</v>
      </c>
    </row>
    <row r="9" spans="2:16">
      <c r="N9" s="1">
        <f>(SUM($B$5:$B$7)/5)</f>
        <v>0.24384182800000001</v>
      </c>
      <c r="O9" s="38">
        <f>($C$5*Params!K11)</f>
        <v>39.387387387387385</v>
      </c>
      <c r="P9" s="38">
        <f>(O9*N9)</f>
        <v>9.6042925406846837</v>
      </c>
    </row>
    <row r="12" spans="2:16">
      <c r="P12" s="38">
        <f>(SUM(P6:P9))</f>
        <v>21.84976553005766</v>
      </c>
    </row>
    <row r="13" spans="2:16">
      <c r="F13" t="s">
        <v>9</v>
      </c>
      <c r="G13" s="38">
        <f>(D14/B14)</f>
        <v>8.9648278063269764</v>
      </c>
    </row>
    <row r="14" spans="2:16">
      <c r="B14" s="19">
        <f>(SUM(B5:B13))</f>
        <v>1.21920914</v>
      </c>
      <c r="D14" s="38">
        <f>(SUM(D5:D13))</f>
        <v>10.93</v>
      </c>
    </row>
  </sheetData>
  <conditionalFormatting sqref="C5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O6:O9">
    <cfRule type="cellIs" dxfId="181" priority="3" operator="lessThan">
      <formula>$J$3</formula>
    </cfRule>
    <cfRule type="cellIs" dxfId="180" priority="4" operator="greaterThan">
      <formula>$J$3</formula>
    </cfRule>
  </conditionalFormatting>
  <conditionalFormatting sqref="G13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10" sqref="B10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11.024031399324841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34.340213554390139</v>
      </c>
      <c r="K4" s="4">
        <f>(J4/D13-1)</f>
        <v>-0.25243914220518759</v>
      </c>
      <c r="R4" t="s">
        <v>5</v>
      </c>
      <c r="S4" t="s">
        <v>6</v>
      </c>
      <c r="T4" t="s">
        <v>7</v>
      </c>
    </row>
    <row r="5" spans="2:22">
      <c r="B5" s="24">
        <v>2.3808066000000001</v>
      </c>
      <c r="C5" s="38">
        <f>(D5/B5)</f>
        <v>15.24693353924674</v>
      </c>
      <c r="D5" s="38">
        <v>36.299999999999997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1.436633E-2</v>
      </c>
      <c r="S5" s="40">
        <v>0</v>
      </c>
      <c r="T5" s="26">
        <f>(D6)</f>
        <v>0</v>
      </c>
      <c r="U5" s="38">
        <f>(R5*J3)</f>
        <v>0.15837487301306244</v>
      </c>
    </row>
    <row r="6" spans="2:22">
      <c r="B6" s="25">
        <v>1.436633E-2</v>
      </c>
      <c r="C6" s="40">
        <v>0</v>
      </c>
      <c r="D6" s="26">
        <f>(B6*C6)</f>
        <v>0</v>
      </c>
      <c r="E6" s="38">
        <f>(B6*J3)</f>
        <v>0.15837487301306244</v>
      </c>
      <c r="M6" t="s">
        <v>11</v>
      </c>
      <c r="N6" s="24">
        <f>($B$5+$R$7)/5</f>
        <v>0.48262073600000005</v>
      </c>
      <c r="O6" s="38">
        <f>($C$5*Params!K8)</f>
        <v>19.821013601020763</v>
      </c>
      <c r="P6" s="38">
        <f>(O6*N6)</f>
        <v>9.566032172390651</v>
      </c>
      <c r="R6" s="24">
        <f>B5</f>
        <v>2.3808066000000001</v>
      </c>
      <c r="S6" s="38">
        <f>(T6/R6)</f>
        <v>15.24693353924674</v>
      </c>
      <c r="T6" s="38">
        <f>D5</f>
        <v>36.299999999999997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0.48262073600000005</v>
      </c>
      <c r="O7" s="38">
        <f>($C$5*Params!K9)</f>
        <v>24.395093662794785</v>
      </c>
      <c r="P7" s="38">
        <f>(O7*N7)</f>
        <v>11.773578058326956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0.55969891402650596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0.48262073600000005</v>
      </c>
      <c r="O8" s="38">
        <f>($C$5*Params!K10)</f>
        <v>33.543253786342831</v>
      </c>
      <c r="P8" s="38">
        <f>(O8*N8)</f>
        <v>16.188669830199565</v>
      </c>
      <c r="R8" s="24">
        <f>(B10)</f>
        <v>0.68756225999999998</v>
      </c>
      <c r="S8" s="38">
        <f>(T8/R8)</f>
        <v>14.311431229515128</v>
      </c>
      <c r="T8" s="38">
        <f>(D10)</f>
        <v>9.84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0.48262073600000005</v>
      </c>
      <c r="O9" s="38">
        <f>($C$5*Params!K11)</f>
        <v>60.98773415698696</v>
      </c>
      <c r="P9" s="38">
        <f>(O9*N9)</f>
        <v>29.43394514581739</v>
      </c>
    </row>
    <row r="10" spans="2:22">
      <c r="B10" s="24">
        <v>0.68756225999999998</v>
      </c>
      <c r="C10" s="38">
        <f>(D10/B10)</f>
        <v>14.311431229515128</v>
      </c>
      <c r="D10" s="38">
        <v>9.84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66.962225206734558</v>
      </c>
    </row>
    <row r="12" spans="2:22">
      <c r="F12" t="s">
        <v>9</v>
      </c>
      <c r="G12" s="38">
        <f>(D13/B13)</f>
        <v>14.74666749118461</v>
      </c>
    </row>
    <row r="13" spans="2:22">
      <c r="B13" s="24">
        <f>(SUM(B5:B12))</f>
        <v>3.1150322700000004</v>
      </c>
      <c r="D13" s="38">
        <f>(SUM(D5:D12))</f>
        <v>45.936345110000005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3.1150322700000004</v>
      </c>
      <c r="T13" s="38">
        <f>(SUM(T5:T12))</f>
        <v>45.936345109999991</v>
      </c>
    </row>
    <row r="14" spans="2:22">
      <c r="M14" t="s">
        <v>11</v>
      </c>
      <c r="N14" s="24">
        <f>($B$10)/5</f>
        <v>0.13751245200000001</v>
      </c>
      <c r="O14" s="38">
        <f>($C$10*Params!K8)</f>
        <v>18.604860598369665</v>
      </c>
      <c r="P14" s="38">
        <f>(O14*N14)</f>
        <v>2.5584000000000002</v>
      </c>
    </row>
    <row r="15" spans="2:22">
      <c r="N15" s="24">
        <f>($B$10)/5</f>
        <v>0.13751245200000001</v>
      </c>
      <c r="O15" s="38">
        <f>($C$10*Params!K9)</f>
        <v>22.898289967224205</v>
      </c>
      <c r="P15" s="38">
        <f>(O15*N15)</f>
        <v>3.1488</v>
      </c>
    </row>
    <row r="16" spans="2:22">
      <c r="N16" s="24">
        <f>($B$10)/5</f>
        <v>0.13751245200000001</v>
      </c>
      <c r="O16" s="38">
        <f>($C$10*Params!K10)</f>
        <v>31.485148704933284</v>
      </c>
      <c r="P16" s="38">
        <f>(O16*N16)</f>
        <v>4.329600000000001</v>
      </c>
    </row>
    <row r="17" spans="14:16">
      <c r="N17" s="24">
        <f>($B$10)/5</f>
        <v>0.13751245200000001</v>
      </c>
      <c r="O17" s="38">
        <f>($C$10*Params!K11)</f>
        <v>57.24572491806051</v>
      </c>
      <c r="P17" s="38">
        <f>(O17*N17)</f>
        <v>7.8719999999999999</v>
      </c>
    </row>
    <row r="19" spans="14:16">
      <c r="P19" s="38">
        <f>(SUM(P14:P17))</f>
        <v>17.908799999999999</v>
      </c>
    </row>
  </sheetData>
  <conditionalFormatting sqref="C5 C9:C11 G12 O6:O9 O14:O17 S6">
    <cfRule type="cellIs" dxfId="177" priority="17" operator="lessThan">
      <formula>$J$3</formula>
    </cfRule>
    <cfRule type="cellIs" dxfId="176" priority="18" operator="greaterThan">
      <formula>$J$3</formula>
    </cfRule>
  </conditionalFormatting>
  <conditionalFormatting sqref="S8">
    <cfRule type="cellIs" dxfId="175" priority="11" operator="lessThan">
      <formula>$J$3</formula>
    </cfRule>
    <cfRule type="cellIs" dxfId="174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1.634548580020066E-3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1.5614617649797948</v>
      </c>
      <c r="K4" s="4">
        <f>(J4/D13-1)</f>
        <v>-0.44866772581791969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3" priority="17" operator="lessThan">
      <formula>$J$3</formula>
    </cfRule>
    <cfRule type="cellIs" dxfId="172" priority="18" operator="greaterThan">
      <formula>$J$3</formula>
    </cfRule>
  </conditionalFormatting>
  <conditionalFormatting sqref="C9:C11">
    <cfRule type="cellIs" dxfId="171" priority="15" operator="lessThan">
      <formula>$J$3</formula>
    </cfRule>
    <cfRule type="cellIs" dxfId="170" priority="16" operator="greaterThan">
      <formula>$J$3</formula>
    </cfRule>
    <cfRule type="cellIs" dxfId="169" priority="13" operator="lessThan">
      <formula>$J$3</formula>
    </cfRule>
    <cfRule type="cellIs" dxfId="168" priority="14" operator="greaterThan">
      <formula>$J$3</formula>
    </cfRule>
  </conditionalFormatting>
  <conditionalFormatting sqref="O6:O9">
    <cfRule type="cellIs" dxfId="167" priority="11" operator="lessThan">
      <formula>$J$3</formula>
    </cfRule>
    <cfRule type="cellIs" dxfId="166" priority="12" operator="greaterThan">
      <formula>$J$3</formula>
    </cfRule>
    <cfRule type="cellIs" dxfId="165" priority="9" operator="lessThan">
      <formula>$J$3</formula>
    </cfRule>
    <cfRule type="cellIs" dxfId="164" priority="10" operator="greaterThan">
      <formula>$J$3</formula>
    </cfRule>
  </conditionalFormatting>
  <conditionalFormatting sqref="S5">
    <cfRule type="cellIs" dxfId="163" priority="7" operator="lessThan">
      <formula>$J$3</formula>
    </cfRule>
    <cfRule type="cellIs" dxfId="162" priority="8" operator="greaterThan">
      <formula>$J$3</formula>
    </cfRule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12">
    <cfRule type="cellIs" dxfId="159" priority="3" operator="lessThan">
      <formula>$J$3</formula>
    </cfRule>
    <cfRule type="cellIs" dxfId="158" priority="4" operator="greaterThan">
      <formula>$J$3</formula>
    </cfRule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3" sqref="B13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226.63803100748731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150.08402612040939</v>
      </c>
      <c r="K4" s="4">
        <f>(J4/D17-1)</f>
        <v>-0.19754796651699102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0.10498405399999999</v>
      </c>
      <c r="O6" s="38">
        <f>($S$8*Params!K8)</f>
        <v>373.34241255343414</v>
      </c>
      <c r="P6" s="38">
        <f>(O6*N6)</f>
        <v>39.195000000000007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5.3259937286759519E-2</v>
      </c>
      <c r="N7" s="24">
        <f>($R$8/5)</f>
        <v>0.10498405399999999</v>
      </c>
      <c r="O7" s="38">
        <f>($S$8*Params!K9)</f>
        <v>459.49835391191891</v>
      </c>
      <c r="P7" s="38">
        <f>(O7*N7)</f>
        <v>48.24</v>
      </c>
      <c r="R7" s="51">
        <f>(B7+B8+B10)</f>
        <v>2.14313E-3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2.1526080185091147E-2</v>
      </c>
      <c r="N8" s="24">
        <f>($R$8/5)</f>
        <v>0.10498405399999999</v>
      </c>
      <c r="O8" s="38">
        <f>($S$8*Params!K10)</f>
        <v>631.81023662888856</v>
      </c>
      <c r="P8" s="38">
        <f>(O8*N8)</f>
        <v>66.330000000000013</v>
      </c>
      <c r="R8" s="51">
        <f>(B11)</f>
        <v>0.52492026999999997</v>
      </c>
      <c r="S8" s="38">
        <f>(C11)</f>
        <v>287.18647119494932</v>
      </c>
      <c r="T8" s="38">
        <f>(R8*S8)</f>
        <v>150.75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0.10498405399999999</v>
      </c>
      <c r="O9" s="38">
        <f>($S$8*Params!K11)</f>
        <v>1148.7458847797973</v>
      </c>
      <c r="P9" s="38">
        <f>(O9*N9)</f>
        <v>120.60000000000001</v>
      </c>
      <c r="R9" s="51">
        <f>(B12)</f>
        <v>0.12541131</v>
      </c>
      <c r="S9" s="38">
        <f>(C12)</f>
        <v>289.44757853179271</v>
      </c>
      <c r="T9" s="38">
        <f>(R9*S9)</f>
        <v>36.299999999999997</v>
      </c>
      <c r="U9" t="s">
        <v>15</v>
      </c>
    </row>
    <row r="10" spans="2:21">
      <c r="B10" s="52">
        <v>1.8131499999999999E-3</v>
      </c>
      <c r="C10" s="40">
        <v>0</v>
      </c>
      <c r="D10" s="26">
        <v>0</v>
      </c>
      <c r="E10" s="38">
        <f>(B10*J3)</f>
        <v>0.41092874592122558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0.52492026999999997</v>
      </c>
      <c r="C11" s="38">
        <f>(D11/B11)</f>
        <v>287.18647119494932</v>
      </c>
      <c r="D11" s="38">
        <v>150.75</v>
      </c>
      <c r="E11" t="s">
        <v>10</v>
      </c>
      <c r="P11" s="38">
        <f>(SUM(P6:P9))</f>
        <v>274.36500000000001</v>
      </c>
    </row>
    <row r="12" spans="2:21">
      <c r="B12" s="51">
        <v>0.12541131</v>
      </c>
      <c r="C12" s="38">
        <f>(D12/B12)</f>
        <v>289.44757853179271</v>
      </c>
      <c r="D12" s="38">
        <v>36.299999999999997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2.5082262000000001E-2</v>
      </c>
      <c r="O14" s="38">
        <f>($S$9*Params!K8)</f>
        <v>376.28185209133056</v>
      </c>
      <c r="P14" s="38">
        <f>(O14*N14)</f>
        <v>9.4380000000000006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2.5082262000000001E-2</v>
      </c>
      <c r="O15" s="38">
        <f>($S$9*Params!K9)</f>
        <v>463.11612565086836</v>
      </c>
      <c r="P15" s="38">
        <f>(O15*N15)</f>
        <v>11.616000000000001</v>
      </c>
    </row>
    <row r="16" spans="2:21">
      <c r="N16" s="24">
        <f>($R$9/5)</f>
        <v>2.5082262000000001E-2</v>
      </c>
      <c r="O16" s="38">
        <f>($S$9*Params!K10)</f>
        <v>636.784672769944</v>
      </c>
      <c r="P16" s="38">
        <f>(O16*N16)</f>
        <v>15.972000000000001</v>
      </c>
    </row>
    <row r="17" spans="2:16">
      <c r="B17" s="51">
        <f>(SUM(B5:B16))</f>
        <v>0.66221906999999991</v>
      </c>
      <c r="D17" s="38">
        <f>(SUM(D5:D16))</f>
        <v>187.03177244</v>
      </c>
      <c r="F17" t="s">
        <v>9</v>
      </c>
      <c r="G17" s="38">
        <f>(SUM(D5:D16)/SUM(B5:B16))</f>
        <v>282.43187324702086</v>
      </c>
      <c r="N17" s="24">
        <f>($R$9/5)</f>
        <v>2.5082262000000001E-2</v>
      </c>
      <c r="O17" s="38">
        <f>($S$9*Params!K11)</f>
        <v>1157.7903141271709</v>
      </c>
      <c r="P17" s="38">
        <f>(O17*N17)</f>
        <v>29.040000000000003</v>
      </c>
    </row>
    <row r="18" spans="2:16">
      <c r="P18" s="38"/>
    </row>
    <row r="19" spans="2:16">
      <c r="P19" s="38">
        <f>(SUM(P14:P17))</f>
        <v>66.066000000000003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8.9217400000000014E-4</v>
      </c>
      <c r="O22" s="38">
        <f>($S$5*Params!K8)</f>
        <v>323.96134165178148</v>
      </c>
      <c r="P22" s="38">
        <f>(O22*N22)</f>
        <v>0.28902988602683655</v>
      </c>
    </row>
    <row r="23" spans="2:16">
      <c r="N23" s="24">
        <f>(($R$5+$R$7)/5)</f>
        <v>8.9217400000000014E-4</v>
      </c>
      <c r="O23" s="38">
        <f>($S$5*Params!K9)</f>
        <v>398.72165126373102</v>
      </c>
      <c r="P23" s="38">
        <f>(O23*N23)</f>
        <v>0.35572909049456802</v>
      </c>
    </row>
    <row r="24" spans="2:16">
      <c r="N24" s="24">
        <f>(($R$5+$R$7)/5)</f>
        <v>8.9217400000000014E-4</v>
      </c>
      <c r="O24" s="38">
        <f>($S$5*Params!K10)</f>
        <v>548.24227048763021</v>
      </c>
      <c r="P24" s="38">
        <f>(O24*N24)</f>
        <v>0.48912749943003109</v>
      </c>
    </row>
    <row r="25" spans="2:16">
      <c r="N25" s="24">
        <f>(($R$5+$R$7)/5)</f>
        <v>8.9217400000000014E-4</v>
      </c>
      <c r="O25" s="38">
        <f>($S$5*Params!K11)</f>
        <v>996.80412815932755</v>
      </c>
      <c r="P25" s="38">
        <f>(O25*N25)</f>
        <v>0.88932272623642006</v>
      </c>
    </row>
    <row r="26" spans="2:16">
      <c r="P26" s="38"/>
    </row>
    <row r="27" spans="2:16">
      <c r="P27" s="38">
        <f>(SUM(P22:P25))</f>
        <v>2.0232092021878554</v>
      </c>
    </row>
    <row r="37" spans="18:20">
      <c r="R37" s="51">
        <f>(SUM(R5:R27))</f>
        <v>0.66221907000000002</v>
      </c>
      <c r="T37" s="38">
        <f>(SUM(T5:T27))</f>
        <v>187.03177244</v>
      </c>
    </row>
  </sheetData>
  <conditionalFormatting sqref="C5:C6 C9 C11:C14 O6:O9 O14 S5:S6 S8:S9">
    <cfRule type="cellIs" dxfId="155" priority="9" operator="lessThan">
      <formula>$J$3</formula>
    </cfRule>
    <cfRule type="cellIs" dxfId="154" priority="10" operator="greaterThan">
      <formula>$J$3</formula>
    </cfRule>
  </conditionalFormatting>
  <conditionalFormatting sqref="O15:O17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O22:O25">
    <cfRule type="cellIs" dxfId="151" priority="3" operator="lessThan">
      <formula>$J$3</formula>
    </cfRule>
    <cfRule type="cellIs" dxfId="150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M41" sqref="M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6.9246296979068478E-2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4.2502258917322502</v>
      </c>
      <c r="K4" s="4">
        <f>(J4/D13-1)</f>
        <v>-0.14995482165355001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0.25926684</v>
      </c>
      <c r="C6" s="40">
        <v>0</v>
      </c>
      <c r="D6" s="26">
        <f>(B6*C6)</f>
        <v>0</v>
      </c>
      <c r="E6" s="38">
        <f>(B6*J3)</f>
        <v>1.7953268599464629E-2</v>
      </c>
      <c r="M6" t="s">
        <v>11</v>
      </c>
      <c r="N6" s="29">
        <f>($B$13/5)</f>
        <v>12.275677046</v>
      </c>
      <c r="O6" s="38">
        <f>($C$5*Params!K8)</f>
        <v>0.10634970155367125</v>
      </c>
      <c r="P6" s="38">
        <f>(O6*N6)</f>
        <v>1.3055145902113527</v>
      </c>
    </row>
    <row r="7" spans="2:16">
      <c r="N7" s="29">
        <f>($B$13/5)</f>
        <v>12.275677046</v>
      </c>
      <c r="O7" s="38">
        <f>($C$5*Params!K9)</f>
        <v>0.13089194037374924</v>
      </c>
      <c r="P7" s="38">
        <f>(O7*N7)</f>
        <v>1.6067871879524342</v>
      </c>
    </row>
    <row r="8" spans="2:16">
      <c r="N8" s="29">
        <f>($B$13/5)</f>
        <v>12.275677046</v>
      </c>
      <c r="O8" s="38">
        <f>($C$5*Params!K10)</f>
        <v>0.17997641801390521</v>
      </c>
      <c r="P8" s="38">
        <f>(O8*N8)</f>
        <v>2.2093323834345973</v>
      </c>
    </row>
    <row r="9" spans="2:16">
      <c r="N9" s="29">
        <f>($B$13/5)</f>
        <v>12.275677046</v>
      </c>
      <c r="O9" s="38">
        <f>($C$5*Params!K11)</f>
        <v>0.32722985093437307</v>
      </c>
      <c r="P9" s="38">
        <f>(O9*N9)</f>
        <v>4.016967969881085</v>
      </c>
    </row>
    <row r="11" spans="2:16">
      <c r="P11" s="38">
        <f>(SUM(P6:P9))</f>
        <v>9.1386021314794696</v>
      </c>
    </row>
    <row r="12" spans="2:16">
      <c r="F12" t="s">
        <v>9</v>
      </c>
      <c r="G12" s="38">
        <f>(D13/B13)</f>
        <v>8.1461901958869765E-2</v>
      </c>
    </row>
    <row r="13" spans="2:16">
      <c r="B13" s="29">
        <f>(SUM(B5:B12))</f>
        <v>61.378385229999999</v>
      </c>
      <c r="D13" s="38">
        <f>(SUM(D5:D12))</f>
        <v>5</v>
      </c>
    </row>
  </sheetData>
  <conditionalFormatting sqref="O6:O9">
    <cfRule type="cellIs" dxfId="149" priority="5" operator="lessThan">
      <formula>$J$3</formula>
    </cfRule>
    <cfRule type="cellIs" dxfId="148" priority="6" operator="greaterThan">
      <formula>$J$3</formula>
    </cfRule>
  </conditionalFormatting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G12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5" sqref="B5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4.2163834788096208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28.130535380214578</v>
      </c>
      <c r="K4" s="4">
        <f>(J4/D14-1)</f>
        <v>-0.23128733134948243</v>
      </c>
      <c r="R4" t="s">
        <v>5</v>
      </c>
      <c r="S4" t="s">
        <v>6</v>
      </c>
      <c r="T4" t="s">
        <v>7</v>
      </c>
    </row>
    <row r="5" spans="2:21">
      <c r="B5" s="24">
        <v>6.5223906999999999</v>
      </c>
      <c r="C5" s="38">
        <f>(D5/B5)</f>
        <v>5.565443971334008</v>
      </c>
      <c r="D5" s="38">
        <v>36.299999999999997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6.1549130000000001E-2</v>
      </c>
      <c r="S5" s="40">
        <v>0</v>
      </c>
      <c r="T5" s="26">
        <f>(D6)</f>
        <v>0</v>
      </c>
      <c r="U5">
        <f>(R5*J3)</f>
        <v>0.25951473486710558</v>
      </c>
    </row>
    <row r="6" spans="2:21">
      <c r="B6" s="25">
        <v>6.1549130000000001E-2</v>
      </c>
      <c r="C6" s="40">
        <v>0</v>
      </c>
      <c r="D6" s="26">
        <f>(B6*C6)</f>
        <v>0</v>
      </c>
      <c r="E6" s="38">
        <f>(B6*J3)</f>
        <v>0.25951473486710558</v>
      </c>
      <c r="M6" t="s">
        <v>11</v>
      </c>
      <c r="N6" s="24">
        <f>($B$14/5)</f>
        <v>1.3343442560000001</v>
      </c>
      <c r="O6" s="38">
        <f>($S$6*Params!K8)</f>
        <v>7.2350771627342105</v>
      </c>
      <c r="P6" s="38">
        <f>(O6*N6)</f>
        <v>9.6540836538111723</v>
      </c>
      <c r="R6" s="24">
        <f>B5</f>
        <v>6.5223906999999999</v>
      </c>
      <c r="S6" s="38">
        <f>(T6/R6)</f>
        <v>5.565443971334008</v>
      </c>
      <c r="T6" s="38">
        <f>D5</f>
        <v>36.299999999999997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1.3343442560000001</v>
      </c>
      <c r="O7" s="38">
        <f>($S$6*Params!K9)</f>
        <v>8.9047103541344139</v>
      </c>
      <c r="P7" s="38">
        <f>(O7*N7)</f>
        <v>11.881949112382982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1.3343442560000001</v>
      </c>
      <c r="O8" s="38">
        <f>($C$5*Params!K10)</f>
        <v>12.243976736934819</v>
      </c>
      <c r="P8" s="38">
        <f>(O8*N8)</f>
        <v>16.337680029526599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1.3343442560000001</v>
      </c>
      <c r="O9" s="38">
        <f>($C$5*Params!K11)</f>
        <v>22.261775885336032</v>
      </c>
      <c r="P9" s="38">
        <f>(O9*N9)</f>
        <v>29.704872780957452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67.578585576678194</v>
      </c>
    </row>
    <row r="13" spans="2:21">
      <c r="F13" t="s">
        <v>9</v>
      </c>
      <c r="G13" s="38">
        <f>(D14/B14)</f>
        <v>5.4849928338133438</v>
      </c>
      <c r="N13" s="24"/>
      <c r="P13" s="38"/>
      <c r="R13" s="24">
        <f>(SUM(R5:R12))</f>
        <v>6.6717212799999999</v>
      </c>
      <c r="T13" s="38">
        <f>(SUM(T5:T12))</f>
        <v>36.59434341</v>
      </c>
    </row>
    <row r="14" spans="2:21">
      <c r="B14">
        <f>(SUM(B5:B13))</f>
        <v>6.6717212800000008</v>
      </c>
      <c r="D14" s="38">
        <f>(SUM(D5:D13))</f>
        <v>36.594343409999993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3" priority="15" operator="lessThan">
      <formula>$J$3</formula>
    </cfRule>
    <cfRule type="cellIs" dxfId="142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41" sqref="B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29.579861216557902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3.6601919126312477</v>
      </c>
      <c r="K4" s="4">
        <f>(J4/D13-1)</f>
        <v>-0.29611693987860621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2.8916499999999999E-3</v>
      </c>
      <c r="C6" s="40">
        <v>0</v>
      </c>
      <c r="D6" s="26">
        <f>(B6*C6)</f>
        <v>0</v>
      </c>
      <c r="E6" s="38">
        <f>(B6*J3)</f>
        <v>8.5534605686859652E-2</v>
      </c>
      <c r="M6" t="s">
        <v>11</v>
      </c>
      <c r="N6" s="24">
        <f>($B$13/5)</f>
        <v>2.4747864000000001E-2</v>
      </c>
      <c r="O6" s="38">
        <f>($C$5*Params!K8)</f>
        <v>55.939</v>
      </c>
      <c r="P6" s="38">
        <f>(O6*N6)</f>
        <v>1.3843707642960001</v>
      </c>
    </row>
    <row r="7" spans="2:16">
      <c r="N7" s="24">
        <f>($B$13/5)</f>
        <v>2.4747864000000001E-2</v>
      </c>
      <c r="O7" s="38">
        <f>($C$5*Params!K9)</f>
        <v>68.847999999999999</v>
      </c>
      <c r="P7" s="38">
        <f>(O7*N7)</f>
        <v>1.7038409406720001</v>
      </c>
    </row>
    <row r="8" spans="2:16">
      <c r="N8" s="24">
        <f>($B$13/5)</f>
        <v>2.4747864000000001E-2</v>
      </c>
      <c r="O8" s="38">
        <f>($C$5*Params!K10)</f>
        <v>94.666000000000011</v>
      </c>
      <c r="P8" s="38">
        <f>(O8*N8)</f>
        <v>2.3427812934240002</v>
      </c>
    </row>
    <row r="9" spans="2:16">
      <c r="N9" s="24">
        <f>($B$13/5)</f>
        <v>2.4747864000000001E-2</v>
      </c>
      <c r="O9" s="38">
        <f>($C$5*Params!K11)</f>
        <v>172.12</v>
      </c>
      <c r="P9" s="38">
        <f>(O9*N9)</f>
        <v>4.2596023516800008</v>
      </c>
    </row>
    <row r="11" spans="2:16">
      <c r="P11" s="38">
        <f>(SUM(P6:P9))</f>
        <v>9.6905953500720017</v>
      </c>
    </row>
    <row r="12" spans="2:16">
      <c r="F12" t="s">
        <v>9</v>
      </c>
      <c r="G12" s="38">
        <f>(D13/B13)</f>
        <v>42.023828803972741</v>
      </c>
    </row>
    <row r="13" spans="2:16">
      <c r="B13">
        <f>(SUM(B5:B12))</f>
        <v>0.12373932</v>
      </c>
      <c r="D13" s="38">
        <f>(SUM(D5:D12))</f>
        <v>5.2</v>
      </c>
    </row>
  </sheetData>
  <conditionalFormatting sqref="C5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O6:O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3.89199773566135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8.6097548318213413</v>
      </c>
      <c r="K4" s="4">
        <f>(J4/D10-1)</f>
        <v>-0.15590638903712339</v>
      </c>
    </row>
    <row r="5" spans="2:16">
      <c r="B5" s="1">
        <v>2.2101820499999998</v>
      </c>
      <c r="C5" s="38">
        <f>(D5/B5)</f>
        <v>4.6150044517826032</v>
      </c>
      <c r="D5" s="38">
        <v>10.199999999999999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1.9864599999999998E-3</v>
      </c>
      <c r="C6" s="40">
        <v>0</v>
      </c>
      <c r="D6" s="26">
        <f>(B6*C6)</f>
        <v>0</v>
      </c>
      <c r="E6" s="38">
        <f>(B6*J3)</f>
        <v>7.7312978219818444E-3</v>
      </c>
      <c r="M6" t="s">
        <v>11</v>
      </c>
      <c r="N6" s="24">
        <f>($B$10/5)</f>
        <v>0.44243370199999993</v>
      </c>
      <c r="O6" s="38">
        <f>($C$5*Params!K8)</f>
        <v>5.9995057873173847</v>
      </c>
      <c r="P6" s="38">
        <f>(O6*N6)</f>
        <v>2.6543835556532547</v>
      </c>
    </row>
    <row r="7" spans="2:16">
      <c r="N7" s="24">
        <f>($B$10/5)</f>
        <v>0.44243370199999993</v>
      </c>
      <c r="O7" s="38">
        <f>($C$5*Params!K9)</f>
        <v>7.3840071228521653</v>
      </c>
      <c r="P7" s="38">
        <f>(O7*N7)</f>
        <v>3.2669336069578518</v>
      </c>
    </row>
    <row r="8" spans="2:16">
      <c r="N8" s="24">
        <f>($B$10/5)</f>
        <v>0.44243370199999993</v>
      </c>
      <c r="O8" s="38">
        <f>($C$5*Params!K10)</f>
        <v>10.153009793921727</v>
      </c>
      <c r="P8" s="38">
        <f>(O8*N8)</f>
        <v>4.4920337095670462</v>
      </c>
    </row>
    <row r="9" spans="2:16">
      <c r="F9" t="s">
        <v>9</v>
      </c>
      <c r="G9" s="38">
        <f>(D10/B10)</f>
        <v>4.6108603182313637</v>
      </c>
      <c r="N9" s="24">
        <f>($B$10/5)</f>
        <v>0.44243370199999993</v>
      </c>
      <c r="O9" s="38">
        <f>($C$5*Params!K11)</f>
        <v>18.460017807130413</v>
      </c>
      <c r="P9" s="38">
        <f>(O9*N9)</f>
        <v>8.1673340173946301</v>
      </c>
    </row>
    <row r="10" spans="2:16">
      <c r="B10">
        <f>(SUM(B5:B9))</f>
        <v>2.2121685099999997</v>
      </c>
      <c r="D10" s="38">
        <f>(SUM(D5:D9))</f>
        <v>10.199999999999999</v>
      </c>
    </row>
    <row r="11" spans="2:16">
      <c r="P11" s="38">
        <f>(SUM(P6:P9))</f>
        <v>18.580684889572783</v>
      </c>
    </row>
    <row r="12" spans="2:16">
      <c r="P12" s="38"/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1.8282860595190169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9.6393120460152772</v>
      </c>
      <c r="K4" s="4">
        <f>(J4/D10-1)</f>
        <v>-0.15221529938300105</v>
      </c>
    </row>
    <row r="5" spans="2:16">
      <c r="B5" s="1">
        <v>5.2555512799999997</v>
      </c>
      <c r="C5" s="38">
        <f>(D5/B5)</f>
        <v>2.1634267071598243</v>
      </c>
      <c r="D5" s="38">
        <v>11.37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1.6770299999999998E-2</v>
      </c>
      <c r="C6" s="40">
        <v>0</v>
      </c>
      <c r="D6" s="26">
        <f>(B6*C6)</f>
        <v>0</v>
      </c>
      <c r="E6" s="38">
        <f>(B6*J3)</f>
        <v>3.0660905703951767E-2</v>
      </c>
      <c r="M6" t="s">
        <v>11</v>
      </c>
      <c r="N6" s="1">
        <f>($B$10/5)</f>
        <v>1.054464316</v>
      </c>
      <c r="O6" s="38">
        <f>($C$5*Params!K8)</f>
        <v>2.8124547193077718</v>
      </c>
      <c r="P6" s="38">
        <f>(O6*N6)</f>
        <v>2.9656331418758417</v>
      </c>
    </row>
    <row r="7" spans="2:16">
      <c r="N7" s="1">
        <f>($B$10/5)</f>
        <v>1.054464316</v>
      </c>
      <c r="O7" s="38">
        <f>($C$5*Params!K9)</f>
        <v>3.4614827314557193</v>
      </c>
      <c r="P7" s="38">
        <f>(O7*N7)</f>
        <v>3.6500100207702668</v>
      </c>
    </row>
    <row r="8" spans="2:16">
      <c r="N8" s="1">
        <f>($B$10/5)</f>
        <v>1.054464316</v>
      </c>
      <c r="O8" s="38">
        <f>($C$5*Params!K10)</f>
        <v>4.7595387557516142</v>
      </c>
      <c r="P8" s="38">
        <f>(O8*N8)</f>
        <v>5.0187637785591166</v>
      </c>
    </row>
    <row r="9" spans="2:16">
      <c r="F9" t="s">
        <v>9</v>
      </c>
      <c r="G9" s="38">
        <f>(D10/B10)</f>
        <v>2.156545238653671</v>
      </c>
      <c r="N9" s="1">
        <f>($B$10/5)</f>
        <v>1.054464316</v>
      </c>
      <c r="O9" s="38">
        <f>($C$5*Params!K11)</f>
        <v>8.6537068286392973</v>
      </c>
      <c r="P9" s="38">
        <f>(O9*N9)</f>
        <v>9.1250250519256664</v>
      </c>
    </row>
    <row r="10" spans="2:16">
      <c r="B10" s="1">
        <f>(SUM(B5:B9))</f>
        <v>5.2723215799999998</v>
      </c>
      <c r="D10" s="38">
        <f>(SUM(D5:D9))</f>
        <v>11.37</v>
      </c>
    </row>
    <row r="11" spans="2:16">
      <c r="P11" s="38">
        <f>(SUM(P6:P9))</f>
        <v>20.759431993130889</v>
      </c>
    </row>
  </sheetData>
  <conditionalFormatting sqref="C5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O6:O9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J22" sqref="J22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34372.678155171598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1017.0617671029115</v>
      </c>
      <c r="K4" s="4">
        <f>(J4/D37-1)</f>
        <v>0.44278740148591211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3.4352999999999999E-4</v>
      </c>
      <c r="C6" s="40">
        <v>0</v>
      </c>
      <c r="D6" s="26">
        <f>(B6*C6)</f>
        <v>0</v>
      </c>
      <c r="E6" s="38">
        <f>(B6*J3)</f>
        <v>11.808046126646099</v>
      </c>
      <c r="I6" t="s">
        <v>11</v>
      </c>
      <c r="J6">
        <v>0.03</v>
      </c>
      <c r="R6" s="24">
        <f t="shared" si="0"/>
        <v>3.4352999999999999E-4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4.1074999999999098E-4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14.118577552236424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6.1619099999999996E-3</v>
      </c>
      <c r="S19" s="38">
        <f t="shared" si="2"/>
        <v>23545.621211604845</v>
      </c>
      <c r="T19" s="38">
        <f>(D23+17438.6*B32)</f>
        <v>145.0859988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1.4155299999999999E-3</v>
      </c>
      <c r="S20" s="38">
        <f t="shared" si="2"/>
        <v>25152.387372927456</v>
      </c>
      <c r="T20" s="38">
        <f>(D24+17211.7*B31)</f>
        <v>35.603958898000002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6.5039099999999999E-3</v>
      </c>
      <c r="C23" s="38">
        <f t="shared" si="3"/>
        <v>23224.491113806929</v>
      </c>
      <c r="D23" s="38">
        <v>151.05000000000001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1.46759E-3</v>
      </c>
      <c r="C24" s="38">
        <f t="shared" si="3"/>
        <v>24870.706396200574</v>
      </c>
      <c r="D24" s="38">
        <v>36.5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1.6332199999999999E-3</v>
      </c>
      <c r="S24" s="38">
        <f>(T24/R24)</f>
        <v>25991.599417102414</v>
      </c>
      <c r="T24" s="38">
        <f>(D34)</f>
        <v>42.45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1.6332199999999999E-3</v>
      </c>
      <c r="C34" s="38">
        <f>(D34/B34)</f>
        <v>25991.599417102414</v>
      </c>
      <c r="D34" s="38">
        <v>42.45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23823.799764103518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2.885998E-2</v>
      </c>
      <c r="T36" s="38">
        <f>(SUM(T5:T25))</f>
        <v>520.84980017000009</v>
      </c>
    </row>
    <row r="37" spans="2:20">
      <c r="B37">
        <f>(SUM(B5:B36))</f>
        <v>2.9589250000000008E-2</v>
      </c>
      <c r="D37" s="38">
        <f>(SUM(D5:D36))</f>
        <v>704.92836717000023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2.2595639999999999E-3</v>
      </c>
      <c r="N50" s="38">
        <f>($S$19*Params!K16)</f>
        <v>47091.242423209689</v>
      </c>
      <c r="O50" s="41">
        <f>(N50*M50)</f>
        <v>106.40567609475737</v>
      </c>
    </row>
    <row r="51" spans="12:16">
      <c r="M51">
        <f>($B$23/5)</f>
        <v>1.3007819999999999E-3</v>
      </c>
      <c r="N51" s="38">
        <f>($S$19*Params!K17)</f>
        <v>94182.484846419378</v>
      </c>
      <c r="O51" s="41">
        <f>(N51*M51)</f>
        <v>122.51088100349509</v>
      </c>
    </row>
    <row r="52" spans="12:16">
      <c r="M52">
        <f>($B$23/5)</f>
        <v>1.3007819999999999E-3</v>
      </c>
      <c r="N52" s="38">
        <f>($S$19*Params!K18)</f>
        <v>188364.96969283876</v>
      </c>
      <c r="O52" s="41">
        <f>(N52*M52)</f>
        <v>245.02176200699017</v>
      </c>
    </row>
    <row r="54" spans="12:16">
      <c r="O54" s="41">
        <f>(SUM(O49:O52))</f>
        <v>481.39391910524262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5.3497599999999994E-4</v>
      </c>
      <c r="N58" s="38">
        <f>($S$20*Params!K16)</f>
        <v>50304.774745854913</v>
      </c>
      <c r="O58" s="41">
        <f>(N58*M58)</f>
        <v>26.911847174438474</v>
      </c>
    </row>
    <row r="59" spans="12:16">
      <c r="M59">
        <f>($B$24/5)</f>
        <v>2.9351799999999999E-4</v>
      </c>
      <c r="N59" s="38">
        <f>($S$20*Params!K17)</f>
        <v>100609.54949170983</v>
      </c>
      <c r="O59" s="41">
        <f>(N59*M59)</f>
        <v>29.530713747707683</v>
      </c>
    </row>
    <row r="60" spans="12:16">
      <c r="M60">
        <f>($B$24/5)</f>
        <v>2.9351799999999999E-4</v>
      </c>
      <c r="N60" s="38">
        <f>($S$20*Params!K18)</f>
        <v>201219.09898341965</v>
      </c>
      <c r="O60" s="41">
        <f>(N60*M60)</f>
        <v>59.061427495415366</v>
      </c>
    </row>
    <row r="62" spans="12:16">
      <c r="O62" s="41">
        <f>(SUM(O57:O60))</f>
        <v>116.62640201756153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3.2664399999999996E-4</v>
      </c>
      <c r="N73" s="38">
        <f>($S$24*Params!K15)</f>
        <v>38987.399125653625</v>
      </c>
      <c r="O73" s="41">
        <f>(N73*M73)</f>
        <v>12.735000000000001</v>
      </c>
    </row>
    <row r="74" spans="12:16">
      <c r="M74">
        <f>($R$24/5)</f>
        <v>3.2664399999999996E-4</v>
      </c>
      <c r="N74" s="38">
        <f>($S$24*Params!K16)</f>
        <v>51983.198834204828</v>
      </c>
      <c r="O74" s="41">
        <f>(N74*M74)</f>
        <v>16.98</v>
      </c>
    </row>
    <row r="75" spans="12:16">
      <c r="M75">
        <f>($R$24/5)</f>
        <v>3.2664399999999996E-4</v>
      </c>
      <c r="N75" s="38">
        <f>($S$24*Params!K17)</f>
        <v>103966.39766840966</v>
      </c>
      <c r="O75" s="41">
        <f>(N75*M75)</f>
        <v>33.96</v>
      </c>
    </row>
    <row r="76" spans="12:16">
      <c r="M76">
        <f>($R$24/5)</f>
        <v>3.2664399999999996E-4</v>
      </c>
      <c r="N76" s="38">
        <f>($S$24*Params!K18)</f>
        <v>207932.79533681931</v>
      </c>
      <c r="O76" s="41">
        <f>(N76*M76)</f>
        <v>67.92</v>
      </c>
    </row>
    <row r="78" spans="12:16">
      <c r="O78" s="41">
        <f>(SUM(O73:O76))</f>
        <v>131.595</v>
      </c>
    </row>
  </sheetData>
  <conditionalFormatting sqref="C5 C7:C17 C19:C20 C22:C25 C34:C35 G36 N10:N12 N20 N26:N28 N34 S5 S7:S21 S24">
    <cfRule type="cellIs" dxfId="253" priority="45" operator="lessThan">
      <formula>$J$3</formula>
    </cfRule>
    <cfRule type="cellIs" dxfId="252" priority="46" operator="greaterThan">
      <formula>$J$3</formula>
    </cfRule>
  </conditionalFormatting>
  <conditionalFormatting sqref="N35:N36">
    <cfRule type="cellIs" dxfId="251" priority="19" operator="lessThan">
      <formula>$J$3</formula>
    </cfRule>
    <cfRule type="cellIs" dxfId="250" priority="20" operator="greaterThan">
      <formula>$J$3</formula>
    </cfRule>
  </conditionalFormatting>
  <conditionalFormatting sqref="N42:N44">
    <cfRule type="cellIs" dxfId="249" priority="17" operator="lessThan">
      <formula>$J$3</formula>
    </cfRule>
    <cfRule type="cellIs" dxfId="248" priority="18" operator="greaterThan">
      <formula>$J$3</formula>
    </cfRule>
  </conditionalFormatting>
  <conditionalFormatting sqref="N50:N52">
    <cfRule type="cellIs" dxfId="247" priority="15" operator="lessThan">
      <formula>$J$3</formula>
    </cfRule>
    <cfRule type="cellIs" dxfId="246" priority="16" operator="greaterThan">
      <formula>$J$3</formula>
    </cfRule>
  </conditionalFormatting>
  <conditionalFormatting sqref="N58:N60">
    <cfRule type="cellIs" dxfId="245" priority="13" operator="lessThan">
      <formula>$J$3</formula>
    </cfRule>
    <cfRule type="cellIs" dxfId="244" priority="14" operator="greaterThan">
      <formula>$J$3</formula>
    </cfRule>
  </conditionalFormatting>
  <conditionalFormatting sqref="N66:N68">
    <cfRule type="cellIs" dxfId="243" priority="11" operator="lessThan">
      <formula>$J$3</formula>
    </cfRule>
    <cfRule type="cellIs" dxfId="242" priority="12" operator="greaterThan">
      <formula>$J$3</formula>
    </cfRule>
  </conditionalFormatting>
  <conditionalFormatting sqref="N73:N76">
    <cfRule type="cellIs" dxfId="241" priority="9" operator="lessThan">
      <formula>$J$3</formula>
    </cfRule>
    <cfRule type="cellIs" dxfId="240" priority="10" operator="greaterThan">
      <formula>$J$3</formula>
    </cfRule>
  </conditionalFormatting>
  <conditionalFormatting sqref="N4">
    <cfRule type="cellIs" dxfId="239" priority="1" operator="greaterThan">
      <formula>$J$3</formula>
    </cfRule>
    <cfRule type="cellIs" dxfId="238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D5" sqref="D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11.03255341015039</v>
      </c>
      <c r="M3" t="s">
        <v>4</v>
      </c>
      <c r="N3" s="24">
        <f>(INDEX(N5:N15,MATCH(MAX(O6:O7),O5:O15,0))/0.9)</f>
        <v>0.30371801333333343</v>
      </c>
      <c r="O3" s="39">
        <f>(MAX(O6:O7)*0.85)</f>
        <v>9.732712437037037</v>
      </c>
      <c r="P3" s="35">
        <f>(O3*N3)</f>
        <v>2.9560000857215147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(B10*J3)</f>
        <v>8.7210934676211096</v>
      </c>
      <c r="K4" s="4">
        <f>(J4/D10-1)</f>
        <v>1.5735616859528849</v>
      </c>
      <c r="R4" t="s">
        <v>5</v>
      </c>
      <c r="S4" t="s">
        <v>6</v>
      </c>
      <c r="T4" t="s">
        <v>7</v>
      </c>
    </row>
    <row r="5" spans="2:21">
      <c r="B5" s="1">
        <v>1.3083655300000001</v>
      </c>
      <c r="C5" s="38">
        <f>(D5/B5)</f>
        <v>6.9017409836530916</v>
      </c>
      <c r="D5" s="38">
        <v>9.0299999999999994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</f>
        <v>1.3083655300000001</v>
      </c>
      <c r="S5" s="38">
        <f>(T5/R5)</f>
        <v>6.9017409836530916</v>
      </c>
      <c r="T5" s="38">
        <f>(D5)</f>
        <v>9.0299999999999994</v>
      </c>
    </row>
    <row r="6" spans="2:21">
      <c r="B6" s="2">
        <v>2.1217800000000002E-3</v>
      </c>
      <c r="C6" s="40">
        <v>0</v>
      </c>
      <c r="D6" s="26">
        <f>(B6*C6)</f>
        <v>0</v>
      </c>
      <c r="E6" s="38">
        <f>(B6*J3)</f>
        <v>2.3408651174588898E-2</v>
      </c>
      <c r="M6" t="s">
        <v>11</v>
      </c>
      <c r="N6" s="24">
        <f>-B7</f>
        <v>0.25</v>
      </c>
      <c r="O6" s="38">
        <f>9.45</f>
        <v>9.4499999999999993</v>
      </c>
      <c r="P6" s="38">
        <f>-D7</f>
        <v>2.5497072699999999</v>
      </c>
      <c r="Q6" t="s">
        <v>12</v>
      </c>
      <c r="R6" s="2">
        <f>(B6)</f>
        <v>2.1217800000000002E-3</v>
      </c>
      <c r="S6" s="40">
        <f>(T6/R6)</f>
        <v>0</v>
      </c>
      <c r="T6" s="26">
        <f>(D6)</f>
        <v>0</v>
      </c>
    </row>
    <row r="7" spans="2:21">
      <c r="B7" s="1">
        <v>-0.25</v>
      </c>
      <c r="C7" s="38">
        <f>D7/B7</f>
        <v>10.198829079999999</v>
      </c>
      <c r="D7" s="38">
        <f>-2.54970727</f>
        <v>-2.5497072699999999</v>
      </c>
      <c r="N7" s="24">
        <f>2*($B$5/5)-N6</f>
        <v>0.27334621200000009</v>
      </c>
      <c r="O7" s="38">
        <f>C8</f>
        <v>11.450249925925926</v>
      </c>
      <c r="P7" s="38">
        <f>(O7*N7)</f>
        <v>3.1298824437051334</v>
      </c>
      <c r="Q7" t="s">
        <v>12</v>
      </c>
      <c r="R7" s="1">
        <f>(B7)</f>
        <v>-0.25</v>
      </c>
      <c r="S7" s="38">
        <f>(T7/R7)</f>
        <v>10.198829079999999</v>
      </c>
      <c r="T7" s="38">
        <f>(D7)</f>
        <v>-2.5497072699999999</v>
      </c>
    </row>
    <row r="8" spans="2:21">
      <c r="B8" s="1">
        <v>-0.27</v>
      </c>
      <c r="C8" s="38">
        <f>D8/B8</f>
        <v>11.450249925925926</v>
      </c>
      <c r="D8" s="38">
        <v>-3.0915674800000001</v>
      </c>
      <c r="N8" s="24">
        <f>3*($B$5/5)-N6-N7</f>
        <v>0.26167310600000004</v>
      </c>
      <c r="O8" s="38">
        <f>($C$5*Params!K10)</f>
        <v>15.183830164036802</v>
      </c>
      <c r="P8" s="38">
        <f>(O8*N8)</f>
        <v>3.9732000000000003</v>
      </c>
      <c r="R8" s="1">
        <f>B8</f>
        <v>-0.27</v>
      </c>
      <c r="S8" s="38">
        <f>(T8/R8)</f>
        <v>11.450249925925926</v>
      </c>
      <c r="T8" s="38">
        <f>D8</f>
        <v>-3.0915674800000001</v>
      </c>
      <c r="U8" s="39"/>
    </row>
    <row r="9" spans="2:21">
      <c r="C9" s="38"/>
      <c r="D9" s="38"/>
      <c r="F9" t="s">
        <v>9</v>
      </c>
      <c r="G9" s="38">
        <f>(D10/B10)</f>
        <v>4.2868812783344987</v>
      </c>
      <c r="N9" s="24">
        <f>($B$5/5)</f>
        <v>0.26167310600000004</v>
      </c>
      <c r="O9" s="38">
        <f>($C$5*Params!K11)</f>
        <v>27.606963934612367</v>
      </c>
      <c r="P9" s="38">
        <f>(O9*N9)</f>
        <v>7.2240000000000002</v>
      </c>
      <c r="R9" s="1"/>
      <c r="S9" s="38"/>
      <c r="T9" s="38"/>
      <c r="U9" s="39"/>
    </row>
    <row r="10" spans="2:21">
      <c r="B10">
        <f>(SUM(B5:B9))</f>
        <v>0.79048731000000005</v>
      </c>
      <c r="C10" s="38"/>
      <c r="D10" s="38">
        <f>(SUM(D5:D9))</f>
        <v>3.3887252499999994</v>
      </c>
      <c r="O10" s="38"/>
      <c r="P10" s="38"/>
      <c r="R10" s="1"/>
      <c r="S10" s="38"/>
      <c r="T10" s="39"/>
    </row>
    <row r="11" spans="2:21">
      <c r="O11" s="38"/>
      <c r="P11" s="38">
        <f>(SUM(P6:P9))</f>
        <v>16.876789713705133</v>
      </c>
    </row>
    <row r="21" spans="18:20">
      <c r="R21">
        <f>(SUM(R5:R20))</f>
        <v>0.79048731000000005</v>
      </c>
      <c r="T21" s="38">
        <f>(SUM(T5:T20))</f>
        <v>3.3887252499999994</v>
      </c>
    </row>
  </sheetData>
  <conditionalFormatting sqref="O8:O9">
    <cfRule type="cellIs" dxfId="125" priority="9" operator="lessThan">
      <formula>$J$3</formula>
    </cfRule>
    <cfRule type="cellIs" dxfId="124" priority="10" operator="greaterThan">
      <formula>$J$3</formula>
    </cfRule>
  </conditionalFormatting>
  <conditionalFormatting sqref="C5">
    <cfRule type="cellIs" dxfId="123" priority="7" operator="lessThan">
      <formula>$J$3</formula>
    </cfRule>
    <cfRule type="cellIs" dxfId="122" priority="8" operator="greaterThan">
      <formula>$J$3</formula>
    </cfRule>
  </conditionalFormatting>
  <conditionalFormatting sqref="G9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3">
    <cfRule type="cellIs" dxfId="119" priority="3" operator="greaterThan">
      <formula>$J$3</formula>
    </cfRule>
    <cfRule type="cellIs" dxfId="118" priority="4" operator="lessThan">
      <formula>$J$3</formula>
    </cfRule>
  </conditionalFormatting>
  <conditionalFormatting sqref="S5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D10" activeCellId="1" sqref="D8 D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68.221604339238326</v>
      </c>
      <c r="M3" t="s">
        <v>4</v>
      </c>
      <c r="N3" s="24">
        <f>(INDEX(N5:N15,MATCH(MAX(O6),O5:O15,0))/0.9)</f>
        <v>3.6418162222222217E-2</v>
      </c>
      <c r="O3" s="39">
        <f>(MAX(O6)*0.85)</f>
        <v>76.033733733733726</v>
      </c>
      <c r="P3" s="35">
        <f>(O3*N3)</f>
        <v>2.7690088494763647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11.180274542489883</v>
      </c>
      <c r="K4" s="4">
        <f>(J4/D15-1)</f>
        <v>0.12490305407391022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9.2414000000000005E-4</v>
      </c>
      <c r="C6" s="40">
        <v>0</v>
      </c>
      <c r="D6" s="26">
        <f>(B6*C6)</f>
        <v>0</v>
      </c>
      <c r="E6" s="38">
        <f>(B6*J3)</f>
        <v>6.3046313434063708E-2</v>
      </c>
      <c r="M6" t="s">
        <v>11</v>
      </c>
      <c r="N6" s="51">
        <f>(SUM(R$5:R$8)/5)</f>
        <v>3.2776345999999998E-2</v>
      </c>
      <c r="O6" s="38">
        <f>($C$7*Params!K8)</f>
        <v>89.451451451451447</v>
      </c>
      <c r="P6" s="38">
        <f>(O6*N6)</f>
        <v>2.9318917229749748</v>
      </c>
      <c r="R6" s="2">
        <f>(B6)</f>
        <v>9.2414000000000005E-4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3.2776345999999998E-2</v>
      </c>
      <c r="O7" s="38">
        <f>($C$7*Params!K9)</f>
        <v>110.09409409409409</v>
      </c>
      <c r="P7" s="38">
        <f>(O7*N7)</f>
        <v>3.6084821205845841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3.2776345999999998E-2</v>
      </c>
      <c r="O8" s="38">
        <f>($C$7*Params!K10)</f>
        <v>151.37937937937937</v>
      </c>
      <c r="P8" s="38">
        <f>(O8*N8)</f>
        <v>4.961662915803803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1.2444702114162991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3.2776345999999998E-2</v>
      </c>
      <c r="O9" s="38">
        <f>($C$7*Params!K11)</f>
        <v>275.23523523523522</v>
      </c>
      <c r="P9" s="38">
        <f>(O9*N9)</f>
        <v>9.0212053014614604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20.52324206082482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60.646652253426907</v>
      </c>
    </row>
    <row r="15" spans="2:21">
      <c r="B15" s="1">
        <f>(SUM(B5:B14))</f>
        <v>0.16388173</v>
      </c>
      <c r="D15" s="38">
        <f>(SUM(D5:D14))</f>
        <v>9.9388782899999999</v>
      </c>
    </row>
    <row r="21" spans="18:20">
      <c r="R21">
        <f>(SUM(R5:R20))</f>
        <v>0.16388173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15" priority="21" operator="lessThan">
      <formula>$J$3</formula>
    </cfRule>
    <cfRule type="cellIs" dxfId="114" priority="22" operator="greaterThan">
      <formula>$J$3</formula>
    </cfRule>
  </conditionalFormatting>
  <conditionalFormatting sqref="C9">
    <cfRule type="cellIs" dxfId="113" priority="9" operator="lessThan">
      <formula>$J$3</formula>
    </cfRule>
    <cfRule type="cellIs" dxfId="112" priority="10" operator="greaterThan">
      <formula>$J$3</formula>
    </cfRule>
  </conditionalFormatting>
  <conditionalFormatting sqref="O3">
    <cfRule type="cellIs" dxfId="111" priority="7" operator="greaterThan">
      <formula>$J$3</formula>
    </cfRule>
    <cfRule type="cellIs" dxfId="110" priority="8" operator="lessThan">
      <formula>$J$3</formula>
    </cfRule>
  </conditionalFormatting>
  <conditionalFormatting sqref="C12:C13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7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14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0.46854592210386448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1.2078675921964239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5.3077359999999997E-2</v>
      </c>
      <c r="C6" s="40">
        <v>0</v>
      </c>
      <c r="D6" s="26">
        <f>(B6*C6)</f>
        <v>0</v>
      </c>
      <c r="E6" s="38">
        <f>(B6*J3)</f>
        <v>2.486918058403877E-2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2.5779065300000008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6.4534936389696782E-5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21.934440003232044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4729.9961426999998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4729.9961426999998</v>
      </c>
      <c r="C18" s="40">
        <v>0</v>
      </c>
      <c r="D18" s="26">
        <f>(B18*C18)</f>
        <v>0</v>
      </c>
      <c r="E18" s="38">
        <f>(B18*J3)</f>
        <v>0.30525000019265564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4.0071139624573133</v>
      </c>
    </row>
    <row r="37" spans="2:20">
      <c r="B37">
        <f>(SUM(B5:B36))</f>
        <v>339884.73887663044</v>
      </c>
      <c r="D37" s="38">
        <f>(SUM(D5:D36))</f>
        <v>-21.780357561799917</v>
      </c>
      <c r="F37" t="s">
        <v>9</v>
      </c>
      <c r="G37" s="28">
        <f>(D37/B37)</f>
        <v>-6.4081599055571708E-5</v>
      </c>
      <c r="R37">
        <f>(SUM(R5:R36))</f>
        <v>339884.73887663044</v>
      </c>
      <c r="T37">
        <f>(SUM(T5:T36))</f>
        <v>-21.78035756179991</v>
      </c>
    </row>
  </sheetData>
  <conditionalFormatting sqref="C5:C9 C14:C16 C25:C26 C28 C30 C32 C35">
    <cfRule type="cellIs" dxfId="103" priority="13" operator="lessThan">
      <formula>$J$3</formula>
    </cfRule>
    <cfRule type="cellIs" dxfId="102" priority="14" operator="greaterThan">
      <formula>$J$3</formula>
    </cfRule>
  </conditionalFormatting>
  <conditionalFormatting sqref="N6">
    <cfRule type="cellIs" dxfId="101" priority="9" operator="lessThan">
      <formula>$J$3</formula>
    </cfRule>
    <cfRule type="cellIs" dxfId="100" priority="10" operator="greaterThan">
      <formula>$J$3</formula>
    </cfRule>
  </conditionalFormatting>
  <conditionalFormatting sqref="N9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S5:S9 S13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3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8" sqref="B8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0.62976533864192186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33.458702373981183</v>
      </c>
      <c r="K4" s="4">
        <f>(J4/D18-1)</f>
        <v>-0.28148301771603546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0.30542809999999998</v>
      </c>
      <c r="C6" s="40">
        <v>0</v>
      </c>
      <c r="D6" s="26">
        <f>(B6*C6)</f>
        <v>0</v>
      </c>
      <c r="E6" s="38">
        <f>(B6*J3)</f>
        <v>0.19234803082725876</v>
      </c>
      <c r="M6" t="s">
        <v>11</v>
      </c>
      <c r="N6" s="19">
        <f>($B$7+$R$9)/5</f>
        <v>7.8899867417777774</v>
      </c>
      <c r="O6" s="38">
        <f>($S$7*Params!K8)</f>
        <v>1.215640925808213</v>
      </c>
      <c r="P6" s="38">
        <f>(O6*N6)</f>
        <v>9.5913907873892637</v>
      </c>
      <c r="R6" s="36">
        <f>(B6)</f>
        <v>0.30542809999999998</v>
      </c>
      <c r="S6" s="40">
        <v>0</v>
      </c>
      <c r="T6" s="26">
        <f>(D6)</f>
        <v>0</v>
      </c>
      <c r="U6" s="38">
        <f>(R6*J3)</f>
        <v>0.19234803082725876</v>
      </c>
    </row>
    <row r="7" spans="2:21">
      <c r="B7" s="19">
        <v>38.819028709999998</v>
      </c>
      <c r="C7" s="38">
        <f t="shared" ref="C7:C14" si="0">(D7/B7)</f>
        <v>0.93510840446785615</v>
      </c>
      <c r="D7" s="38">
        <v>36.299999999999997</v>
      </c>
      <c r="E7" t="s">
        <v>15</v>
      </c>
      <c r="N7" s="19">
        <f>($B$7+$R$9)/5</f>
        <v>7.8899867417777774</v>
      </c>
      <c r="O7" s="38">
        <f>($S$7*Params!K9)</f>
        <v>1.4961734471485699</v>
      </c>
      <c r="P7" s="38">
        <f>(O7*N7)</f>
        <v>11.804788661402171</v>
      </c>
      <c r="R7" s="19">
        <f>B7</f>
        <v>38.819028709999998</v>
      </c>
      <c r="S7" s="38">
        <f>(T7/R7)</f>
        <v>0.93510840446785615</v>
      </c>
      <c r="T7" s="38">
        <f>D7</f>
        <v>36.299999999999997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7.8899867417777774</v>
      </c>
      <c r="O8" s="38">
        <f>($S$7*Params!K10)</f>
        <v>2.0572384898292837</v>
      </c>
      <c r="P8" s="38">
        <f>(O8*N8)</f>
        <v>16.231584409427985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7.8899867417777774</v>
      </c>
      <c r="O9" s="38">
        <f>($C$7*Params!K11)</f>
        <v>3.7404336178714246</v>
      </c>
      <c r="P9" s="38">
        <f>(O9*N9)</f>
        <v>29.511971653505427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67.139735511724851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0.87647940712559647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53.12884073</v>
      </c>
      <c r="S17" s="38"/>
      <c r="T17" s="38">
        <f>(SUM(T5:T12))</f>
        <v>46.56633482430064</v>
      </c>
    </row>
    <row r="18" spans="2:20">
      <c r="B18" s="19">
        <f>(SUM(B5:B17))</f>
        <v>53.12884073</v>
      </c>
      <c r="D18" s="38">
        <f>(SUM(D5:D17))</f>
        <v>46.56633482430064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3" priority="23" operator="lessThan">
      <formula>$J$3</formula>
    </cfRule>
    <cfRule type="cellIs" dxfId="92" priority="24" operator="greaterThan">
      <formula>$J$3</formula>
    </cfRule>
  </conditionalFormatting>
  <conditionalFormatting sqref="S8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E5" sqref="E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0.61480859226600937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33.718591477794916</v>
      </c>
      <c r="K4" s="4">
        <f>(J4/D10-1)</f>
        <v>-0.14830534281902219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1.4638627625943441</v>
      </c>
      <c r="M6" t="s">
        <v>11</v>
      </c>
      <c r="N6" s="29">
        <f>($B$10/5)</f>
        <v>10.968809448</v>
      </c>
      <c r="O6" s="38">
        <f>($C$5*Params!K8)</f>
        <v>0.98505771545924514</v>
      </c>
      <c r="P6" s="38">
        <f>(O6*N6)</f>
        <v>10.804910376154664</v>
      </c>
    </row>
    <row r="7" spans="2:16">
      <c r="B7" s="36">
        <v>0.21534154</v>
      </c>
      <c r="C7" s="40">
        <v>0</v>
      </c>
      <c r="D7" s="26">
        <f>(B7*C7)</f>
        <v>0</v>
      </c>
      <c r="E7" s="38">
        <f>(B7*J3)</f>
        <v>0.13239382906379454</v>
      </c>
      <c r="N7" s="29">
        <f>($B$10/5)</f>
        <v>10.968809448</v>
      </c>
      <c r="O7" s="38">
        <f>($C$5*Params!K9)</f>
        <v>1.2123787267190709</v>
      </c>
      <c r="P7" s="38">
        <f>(O7*N7)</f>
        <v>13.298351232190354</v>
      </c>
    </row>
    <row r="8" spans="2:16">
      <c r="N8" s="29">
        <f>($B$10/5)</f>
        <v>10.968809448</v>
      </c>
      <c r="O8" s="38">
        <f>($C$5*Params!K10)</f>
        <v>1.6670207492387226</v>
      </c>
      <c r="P8" s="38">
        <f>(O8*N8)</f>
        <v>18.28523294426174</v>
      </c>
    </row>
    <row r="9" spans="2:16">
      <c r="F9" t="s">
        <v>9</v>
      </c>
      <c r="G9" s="38">
        <f>(D10/B10)</f>
        <v>0.72186503353321818</v>
      </c>
      <c r="N9" s="29">
        <f>($B$10/5)</f>
        <v>10.968809448</v>
      </c>
      <c r="O9" s="38">
        <f>($C$5*Params!K11)</f>
        <v>3.0309468167976772</v>
      </c>
      <c r="P9" s="38">
        <f>(O9*N9)</f>
        <v>33.24587808047589</v>
      </c>
    </row>
    <row r="10" spans="2:16">
      <c r="B10" s="29">
        <f>(SUM(B5:B9))</f>
        <v>54.844047240000002</v>
      </c>
      <c r="D10" s="38">
        <f>(SUM(D5:D9))</f>
        <v>39.590000000000003</v>
      </c>
    </row>
    <row r="11" spans="2:16">
      <c r="P11" s="38">
        <f>(SUM(P6:P9))</f>
        <v>75.634372633082648</v>
      </c>
    </row>
  </sheetData>
  <conditionalFormatting sqref="C5">
    <cfRule type="cellIs" dxfId="89" priority="5" operator="lessThan">
      <formula>$J$3</formula>
    </cfRule>
    <cfRule type="cellIs" dxfId="88" priority="6" operator="greaterThan">
      <formula>$J$3</formula>
    </cfRule>
  </conditionalFormatting>
  <conditionalFormatting sqref="O6:O9"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1.235941512002473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28.230313036252607</v>
      </c>
      <c r="K4" s="4">
        <f>(J4/D19-1)</f>
        <v>-0.276128634691446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20.698050330000001</v>
      </c>
      <c r="C6" s="38">
        <f>(D6/B6)</f>
        <v>1.7537883723949761</v>
      </c>
      <c r="D6" s="38">
        <v>36.299999999999997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20.698050330000001</v>
      </c>
      <c r="S6" s="38">
        <f>(T6/R6)</f>
        <v>1.7537883723949761</v>
      </c>
      <c r="T6" s="38">
        <f>D6</f>
        <v>36.299999999999997</v>
      </c>
      <c r="U6" s="38" t="str">
        <f>(E6)</f>
        <v>DCA2</v>
      </c>
    </row>
    <row r="7" spans="2:22">
      <c r="B7" s="2">
        <v>9.5968429999999993E-2</v>
      </c>
      <c r="C7" s="40">
        <v>0</v>
      </c>
      <c r="D7" s="26">
        <v>0</v>
      </c>
      <c r="E7" s="39">
        <f>B7*J3</f>
        <v>0.11861136647870349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9.5968429999999993E-2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0.30268060015682419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0.31603201276917259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4.1667731200000002</v>
      </c>
      <c r="O14" s="38">
        <f>($C$6*Params!K8)</f>
        <v>2.2799248841134689</v>
      </c>
      <c r="P14" s="38">
        <f>(O14*N14)</f>
        <v>9.4999297227431185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4.1667731200000002</v>
      </c>
      <c r="O15" s="38">
        <f>($C$6*Params!K9)</f>
        <v>2.806061395831962</v>
      </c>
      <c r="P15" s="38">
        <f>(O15*N15)</f>
        <v>11.692221197222301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4.1667731200000002</v>
      </c>
      <c r="O16" s="38">
        <f>($C$6*Params!K10)</f>
        <v>3.8583344192689477</v>
      </c>
      <c r="P16" s="38">
        <f>(O16*N16)</f>
        <v>16.076804146180663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4.1667731200000002</v>
      </c>
      <c r="O17" s="38">
        <f>($C$6*Params!K11)</f>
        <v>7.0151534895799044</v>
      </c>
      <c r="P17" s="38">
        <f>(O17*N17)</f>
        <v>29.230552993055746</v>
      </c>
      <c r="S17" s="38"/>
      <c r="T17" s="38"/>
    </row>
    <row r="18" spans="2:20">
      <c r="C18" s="38"/>
      <c r="D18" s="38"/>
      <c r="F18" t="s">
        <v>9</v>
      </c>
      <c r="G18" s="38">
        <f>(D19/B19)</f>
        <v>1.7074048943428592</v>
      </c>
      <c r="O18" s="38"/>
      <c r="P18" s="38"/>
      <c r="S18" s="38"/>
      <c r="T18" s="38"/>
    </row>
    <row r="19" spans="2:20">
      <c r="B19" s="1">
        <f>(SUM(B5:B18))</f>
        <v>22.841139942385979</v>
      </c>
      <c r="C19" s="38"/>
      <c r="D19" s="38">
        <f>(SUM(D5:D18))</f>
        <v>38.999074129999997</v>
      </c>
      <c r="O19" s="38"/>
      <c r="P19" s="38">
        <f>(SUM(P14:P17))</f>
        <v>66.49950805920183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22.841139942385983</v>
      </c>
      <c r="S22" s="38"/>
      <c r="T22" s="38">
        <f>(SUM(T5:T21))</f>
        <v>38.999074129999997</v>
      </c>
    </row>
  </sheetData>
  <conditionalFormatting sqref="C5:C6 C12:C14 C16:C17 O6:O9 O14:O17 S5:S6">
    <cfRule type="cellIs" dxfId="83" priority="17" operator="lessThan">
      <formula>$J$3</formula>
    </cfRule>
    <cfRule type="cellIs" dxfId="8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8.0162439566617523E-6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3.5253942685402886</v>
      </c>
      <c r="K4" s="4">
        <f>(J4/D13-1)</f>
        <v>-0.29912638796415736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249.63</v>
      </c>
      <c r="C6" s="40">
        <v>0</v>
      </c>
      <c r="D6" s="26">
        <f>(B6*C6)</f>
        <v>0</v>
      </c>
      <c r="E6" s="38">
        <f>(B6*J3)</f>
        <v>2.001094978901473E-3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1.1437502880693134E-5</v>
      </c>
    </row>
    <row r="13" spans="2:16">
      <c r="B13">
        <f>(SUM(B5:B12))</f>
        <v>439781.31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J3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6:O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5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32.32797243436152</v>
      </c>
      <c r="M3" t="s">
        <v>4</v>
      </c>
      <c r="N3" s="24">
        <f>(INDEX(N5:N26,MATCH(MAX(O6:O8,O23:O24,O14:O15),O5:O26,0))/0.9)</f>
        <v>0.72222222222222221</v>
      </c>
      <c r="O3" s="39">
        <f>(MAX(O14:O15,O23:O24,O6:O8)*0.85)</f>
        <v>27.697439110389432</v>
      </c>
      <c r="P3" s="38">
        <f>(O3*N3)</f>
        <v>20.003706024170146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(B41*J3)</f>
        <v>172.04955144105003</v>
      </c>
      <c r="K4" s="4">
        <f>(J4/D41-1)</f>
        <v>0.50289308853984238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v>23</v>
      </c>
      <c r="P7" s="38">
        <f>-D36</f>
        <v>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C38</f>
        <v>31.194569999999995</v>
      </c>
      <c r="P8" s="38">
        <f>-D38</f>
        <v>3.1194569999999997</v>
      </c>
      <c r="Q8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12.910184906139648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6.7888742112159187E-2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5.6199974299999997</v>
      </c>
      <c r="S13" s="38">
        <f>(T13/R13)</f>
        <v>19.686419500729201</v>
      </c>
      <c r="T13" s="38">
        <f>(D17+11.97*B21)</f>
        <v>110.63762699999999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0.19917305843174454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5.5952000000000002E-2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1.7061992635462667E-2</v>
      </c>
      <c r="N15" s="24">
        <f>-B37</f>
        <v>2.08</v>
      </c>
      <c r="O15" s="38">
        <f>C37</f>
        <v>31.395271514423076</v>
      </c>
      <c r="P15" s="38">
        <f>(O15*N15)</f>
        <v>65.302164750000003</v>
      </c>
      <c r="Q15" t="s">
        <v>12</v>
      </c>
      <c r="R15" s="24">
        <f>B19+B22</f>
        <v>1.7382041700000002</v>
      </c>
      <c r="S15" s="38">
        <f>(T15/R15)</f>
        <v>20.365764051756933</v>
      </c>
      <c r="T15" s="38">
        <f>(D19+12.6*B22)</f>
        <v>35.399856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(3*($R$13+N14+$R$21)/5-N14-N15)</f>
        <v>1.2066820299999996</v>
      </c>
      <c r="O16" s="38">
        <f>($S$13*Params!K10)</f>
        <v>43.310122901604245</v>
      </c>
      <c r="P16" s="38">
        <f>(O16*N16)</f>
        <v>52.261547022457286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5.9008974299999997</v>
      </c>
      <c r="C17" s="38">
        <f>(D17/B17)</f>
        <v>19.319095332928029</v>
      </c>
      <c r="D17" s="38">
        <v>114</v>
      </c>
      <c r="E17" t="s">
        <v>10</v>
      </c>
      <c r="N17" s="24">
        <f>(($R$13+N14+$R$21)/5)</f>
        <v>1.18919401</v>
      </c>
      <c r="O17" s="38">
        <f>($S$13*Params!K11)</f>
        <v>78.745678002916804</v>
      </c>
      <c r="P17" s="38">
        <f>(O17*N17)</f>
        <v>93.643888594457422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5.5952000000000002E-2</v>
      </c>
      <c r="C18" s="40">
        <v>0</v>
      </c>
      <c r="D18" s="26">
        <v>0</v>
      </c>
      <c r="E18" s="39">
        <f>B18*J3</f>
        <v>1.8088147136473958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1.8096441700000001</v>
      </c>
      <c r="C19" s="38">
        <f t="shared" ref="C19:C32" si="1">(D19/B19)</f>
        <v>20.05919207862836</v>
      </c>
      <c r="D19" s="38">
        <v>36.299999999999997</v>
      </c>
      <c r="E19" t="s">
        <v>15</v>
      </c>
      <c r="O19" s="38"/>
      <c r="P19" s="38">
        <f>(SUM(P14:P17))</f>
        <v>215.40980036691471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0.27627640704911077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1.68853443591874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1.9122583369044517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B36</f>
        <v>-0.10885</v>
      </c>
      <c r="S22" s="39">
        <f>T22/R22</f>
        <v>23.941203491042717</v>
      </c>
      <c r="T22" s="39">
        <f>D36</f>
        <v>-2.6059999999999999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>
        <f>B37</f>
        <v>-2.08</v>
      </c>
      <c r="S23" s="39">
        <f>T23/R23</f>
        <v>31.395271514423076</v>
      </c>
      <c r="T23" s="38">
        <f>D37</f>
        <v>-65.302164750000003</v>
      </c>
      <c r="U23" t="s">
        <v>88</v>
      </c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-B39</f>
        <v>0.65</v>
      </c>
      <c r="O24" s="38">
        <f>($S$15*Params!K9)</f>
        <v>32.585222482811098</v>
      </c>
      <c r="P24" s="38">
        <f>(O24*N24)</f>
        <v>21.180394613827215</v>
      </c>
      <c r="Q24" t="s">
        <v>12</v>
      </c>
      <c r="R24" s="24">
        <f>B38</f>
        <v>-0.1</v>
      </c>
      <c r="S24" s="38">
        <f>T24/R24</f>
        <v>31.194569999999995</v>
      </c>
      <c r="T24" s="38">
        <f>D38</f>
        <v>-3.1194569999999997</v>
      </c>
      <c r="U24" t="s">
        <v>89</v>
      </c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(3*($R$15+$N$23+$R$19)/5-$N$23-N24)</f>
        <v>0.36817716</v>
      </c>
      <c r="O25" s="38">
        <f>($S$15*Params!K10)</f>
        <v>44.804680913865255</v>
      </c>
      <c r="P25" s="38">
        <f>(O25*N25)</f>
        <v>16.496060173573113</v>
      </c>
      <c r="R25" s="24">
        <f>B39</f>
        <v>-0.65</v>
      </c>
      <c r="S25" s="38">
        <f>C39</f>
        <v>32.934038338461541</v>
      </c>
      <c r="T25" s="38">
        <f>D39</f>
        <v>-21.407124920000001</v>
      </c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0.36320572000000001</v>
      </c>
      <c r="O26" s="38">
        <f>($S$15*Params!K11)</f>
        <v>81.463056207027734</v>
      </c>
      <c r="P26" s="38">
        <f>(O26*N26)</f>
        <v>29.587847983073978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68.427406290474295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 t="shared" ref="C33:C39" si="2"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 t="shared" si="2"/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 t="shared" si="2"/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 t="shared" si="2"/>
        <v>23.941203491042717</v>
      </c>
      <c r="D36" s="38">
        <v>-2.6059999999999999</v>
      </c>
      <c r="E36" s="38"/>
      <c r="S36" s="38"/>
      <c r="T36" s="38"/>
    </row>
    <row r="37" spans="2:23">
      <c r="B37" s="24">
        <v>-2.08</v>
      </c>
      <c r="C37" s="38">
        <f t="shared" si="2"/>
        <v>31.395271514423076</v>
      </c>
      <c r="D37" s="38">
        <v>-65.302164750000003</v>
      </c>
      <c r="E37" s="38"/>
      <c r="S37" s="38"/>
      <c r="T37" s="38"/>
    </row>
    <row r="38" spans="2:23">
      <c r="B38" s="24">
        <v>-0.1</v>
      </c>
      <c r="C38" s="38">
        <f t="shared" si="2"/>
        <v>31.194569999999995</v>
      </c>
      <c r="D38" s="38">
        <f>-3.1462+0.026743</f>
        <v>-3.1194569999999997</v>
      </c>
      <c r="E38" s="38"/>
      <c r="S38" s="38"/>
      <c r="T38" s="38"/>
    </row>
    <row r="39" spans="2:23">
      <c r="B39" s="24">
        <v>-0.65</v>
      </c>
      <c r="C39" s="38">
        <f t="shared" si="2"/>
        <v>32.934038338461541</v>
      </c>
      <c r="D39" s="38">
        <f>-21.40712492</f>
        <v>-21.407124920000001</v>
      </c>
      <c r="E39" s="38"/>
      <c r="S39" s="38"/>
      <c r="T39" s="38"/>
    </row>
    <row r="40" spans="2:23">
      <c r="C40" s="38"/>
      <c r="D40" s="38"/>
      <c r="E40" s="38"/>
      <c r="S40" s="38"/>
      <c r="T40" s="38"/>
    </row>
    <row r="41" spans="2:23">
      <c r="B41" s="24">
        <f>(SUM(B5:B40))</f>
        <v>5.3220025410000016</v>
      </c>
      <c r="C41" s="38"/>
      <c r="D41" s="38">
        <f>(SUM(D5:D40))</f>
        <v>114.47890255999997</v>
      </c>
      <c r="E41" s="38"/>
      <c r="F41" t="s">
        <v>9</v>
      </c>
      <c r="G41" s="38">
        <f>(D41/B41)</f>
        <v>21.510493780878473</v>
      </c>
      <c r="R41" s="24">
        <f>(SUM(R5:R36))</f>
        <v>5.322002540999998</v>
      </c>
      <c r="S41" s="38"/>
      <c r="T41" s="38">
        <f>(SUM(T5:T36))</f>
        <v>114.47654299999999</v>
      </c>
      <c r="V41" t="s">
        <v>9</v>
      </c>
      <c r="W41" s="38">
        <f>(T41/R41)</f>
        <v>21.510050421450941</v>
      </c>
    </row>
    <row r="42" spans="2:23">
      <c r="M42" s="24"/>
      <c r="S42" s="38"/>
      <c r="T42" s="38"/>
    </row>
    <row r="45" spans="2:23">
      <c r="N45" s="24"/>
    </row>
  </sheetData>
  <conditionalFormatting sqref="C5 C8:C10 S5">
    <cfRule type="cellIs" dxfId="75" priority="95" operator="lessThan">
      <formula>$J$3</formula>
    </cfRule>
    <cfRule type="cellIs" dxfId="74" priority="96" operator="greaterThan">
      <formula>$J$3</formula>
    </cfRule>
  </conditionalFormatting>
  <conditionalFormatting sqref="C16:C17">
    <cfRule type="cellIs" dxfId="73" priority="79" operator="lessThan">
      <formula>$J$3</formula>
    </cfRule>
    <cfRule type="cellIs" dxfId="72" priority="80" operator="greaterThan">
      <formula>$J$3</formula>
    </cfRule>
    <cfRule type="cellIs" dxfId="71" priority="81" operator="lessThan">
      <formula>$J$3</formula>
    </cfRule>
    <cfRule type="cellIs" dxfId="70" priority="82" operator="greaterThan">
      <formula>$J$3</formula>
    </cfRule>
    <cfRule type="cellIs" dxfId="69" priority="89" operator="lessThan">
      <formula>$J$3</formula>
    </cfRule>
    <cfRule type="cellIs" dxfId="68" priority="90" operator="greaterThan">
      <formula>$J$3</formula>
    </cfRule>
  </conditionalFormatting>
  <conditionalFormatting sqref="C19:C20 G41">
    <cfRule type="cellIs" dxfId="67" priority="73" operator="lessThan">
      <formula>$J$3</formula>
    </cfRule>
    <cfRule type="cellIs" dxfId="66" priority="74" operator="greaterThan">
      <formula>$J$3</formula>
    </cfRule>
    <cfRule type="cellIs" dxfId="65" priority="75" operator="lessThan">
      <formula>$J$3</formula>
    </cfRule>
    <cfRule type="cellIs" dxfId="64" priority="76" operator="greaterThan">
      <formula>$J$3</formula>
    </cfRule>
    <cfRule type="cellIs" dxfId="63" priority="77" operator="lessThan">
      <formula>$J$3</formula>
    </cfRule>
    <cfRule type="cellIs" dxfId="62" priority="78" operator="greaterThan">
      <formula>$J$3</formula>
    </cfRule>
    <cfRule type="cellIs" dxfId="61" priority="87" operator="lessThan">
      <formula>$J$3</formula>
    </cfRule>
    <cfRule type="cellIs" dxfId="60" priority="88" operator="greaterThan">
      <formula>$J$3</formula>
    </cfRule>
  </conditionalFormatting>
  <conditionalFormatting sqref="C27:C28 C30:C31 C34:C35">
    <cfRule type="cellIs" dxfId="59" priority="65" operator="lessThan">
      <formula>$J$3</formula>
    </cfRule>
    <cfRule type="cellIs" dxfId="58" priority="66" operator="greaterThan">
      <formula>$J$3</formula>
    </cfRule>
    <cfRule type="cellIs" dxfId="57" priority="67" operator="lessThan">
      <formula>$J$3</formula>
    </cfRule>
    <cfRule type="cellIs" dxfId="56" priority="68" operator="greaterThan">
      <formula>$J$3</formula>
    </cfRule>
    <cfRule type="cellIs" dxfId="55" priority="69" operator="lessThan">
      <formula>$J$3</formula>
    </cfRule>
    <cfRule type="cellIs" dxfId="54" priority="70" operator="greaterThan">
      <formula>$J$3</formula>
    </cfRule>
    <cfRule type="cellIs" dxfId="53" priority="71" operator="lessThan">
      <formula>$J$3</formula>
    </cfRule>
    <cfRule type="cellIs" dxfId="52" priority="72" operator="greaterThan">
      <formula>$J$3</formula>
    </cfRule>
    <cfRule type="cellIs" dxfId="51" priority="85" operator="lessThan">
      <formula>$J$3</formula>
    </cfRule>
    <cfRule type="cellIs" dxfId="50" priority="86" operator="greaterThan">
      <formula>$J$3</formula>
    </cfRule>
  </conditionalFormatting>
  <conditionalFormatting sqref="O9 O16:O17 O25:O26 S12:S13 S15:S16">
    <cfRule type="cellIs" dxfId="49" priority="59" operator="lessThan">
      <formula>$J$3</formula>
    </cfRule>
    <cfRule type="cellIs" dxfId="48" priority="60" operator="greaterThan">
      <formula>$J$3</formula>
    </cfRule>
    <cfRule type="cellIs" dxfId="47" priority="61" operator="lessThan">
      <formula>$J$3</formula>
    </cfRule>
    <cfRule type="cellIs" dxfId="46" priority="62" operator="greaterThan">
      <formula>$J$3</formula>
    </cfRule>
  </conditionalFormatting>
  <conditionalFormatting sqref="O3">
    <cfRule type="cellIs" dxfId="45" priority="41" operator="greaterThan">
      <formula>$J$3</formula>
    </cfRule>
    <cfRule type="cellIs" dxfId="44" priority="42" operator="lessThan">
      <formula>$J$3</formula>
    </cfRule>
  </conditionalFormatting>
  <conditionalFormatting sqref="W41">
    <cfRule type="cellIs" dxfId="43" priority="11" operator="lessThan">
      <formula>$J$3</formula>
    </cfRule>
    <cfRule type="cellIs" dxfId="42" priority="12" operator="greaterThan">
      <formula>$J$3</formula>
    </cfRule>
    <cfRule type="cellIs" dxfId="41" priority="13" operator="lessThan">
      <formula>$J$3</formula>
    </cfRule>
    <cfRule type="cellIs" dxfId="40" priority="14" operator="greaterThan">
      <formula>$J$3</formula>
    </cfRule>
    <cfRule type="cellIs" dxfId="39" priority="15" operator="lessThan">
      <formula>$J$3</formula>
    </cfRule>
    <cfRule type="cellIs" dxfId="38" priority="16" operator="greaterThan">
      <formula>$J$3</formula>
    </cfRule>
    <cfRule type="cellIs" dxfId="37" priority="17" operator="lessThan">
      <formula>$J$3</formula>
    </cfRule>
    <cfRule type="cellIs" dxfId="36" priority="1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10" sqref="Q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9.4912877748235966E-2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0.88400163936354292</v>
      </c>
      <c r="K4" s="4">
        <f>(J4/D13-1)</f>
        <v>0.76800327872708585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0.21256353</v>
      </c>
      <c r="C6" s="40">
        <v>0</v>
      </c>
      <c r="D6" s="26">
        <f>(B6*C6)</f>
        <v>0</v>
      </c>
      <c r="E6" s="38">
        <f>(B6*J3)</f>
        <v>2.0175016336623487E-2</v>
      </c>
      <c r="G6" s="38"/>
      <c r="M6" t="s">
        <v>11</v>
      </c>
      <c r="N6" s="19">
        <f>($B$13/5)</f>
        <v>1.8627643800000002</v>
      </c>
      <c r="O6" s="35">
        <f>($C$5*Params!K8)</f>
        <v>7.1418695478700056E-2</v>
      </c>
      <c r="P6" s="38">
        <f>(O6*N6)</f>
        <v>0.13303620200378952</v>
      </c>
      <c r="Q6" s="38">
        <f>N6*$J$3</f>
        <v>0.17680032787270858</v>
      </c>
    </row>
    <row r="7" spans="2:17">
      <c r="C7" s="38"/>
      <c r="D7" s="38"/>
      <c r="E7" s="38"/>
      <c r="G7" s="38"/>
      <c r="N7" s="19">
        <f>($B$13/5)</f>
        <v>1.8627643800000002</v>
      </c>
      <c r="O7" s="35">
        <f>($C$5*Params!K9)</f>
        <v>8.7899932896861599E-2</v>
      </c>
      <c r="P7" s="38">
        <f>(O7*N7)</f>
        <v>0.16373686400466403</v>
      </c>
      <c r="Q7" s="38">
        <f>Q6*2</f>
        <v>0.35360065574541716</v>
      </c>
    </row>
    <row r="8" spans="2:17">
      <c r="C8" s="38"/>
      <c r="D8" s="38"/>
      <c r="E8" s="38"/>
      <c r="G8" s="38"/>
      <c r="N8" s="19">
        <f>($B$13/5)</f>
        <v>1.8627643800000002</v>
      </c>
      <c r="O8" s="35">
        <f>($C$5*Params!K10)</f>
        <v>0.12086240773318471</v>
      </c>
      <c r="P8" s="38">
        <f>(O8*N8)</f>
        <v>0.22513818800641305</v>
      </c>
      <c r="Q8" s="38">
        <f>Q6*3</f>
        <v>0.53040098361812571</v>
      </c>
    </row>
    <row r="9" spans="2:17">
      <c r="C9" s="38"/>
      <c r="D9" s="38"/>
      <c r="E9" s="38"/>
      <c r="G9" s="38"/>
      <c r="N9" s="19">
        <f>($B$13/5)</f>
        <v>1.8627643800000002</v>
      </c>
      <c r="O9" s="35">
        <f>($C$5*Params!K11)</f>
        <v>0.219749832242154</v>
      </c>
      <c r="P9" s="38">
        <f>(O9*N9)</f>
        <v>0.40934216001166007</v>
      </c>
      <c r="Q9" s="38">
        <f>Q6*4</f>
        <v>0.70720131149083432</v>
      </c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0.93125341402652673</v>
      </c>
    </row>
    <row r="12" spans="2:17">
      <c r="C12" s="38"/>
      <c r="D12" s="38"/>
      <c r="E12" s="38"/>
      <c r="F12" t="s">
        <v>9</v>
      </c>
      <c r="G12" s="38">
        <f>(D13/B13)</f>
        <v>5.3683654827026479E-2</v>
      </c>
    </row>
    <row r="13" spans="2:17">
      <c r="B13">
        <f>(SUM(B5:B12))</f>
        <v>9.3138219000000007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4.1386829176481879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8.020870133738546</v>
      </c>
      <c r="K4" s="4">
        <f>(J4/D10-1)</f>
        <v>-0.24044790400203164</v>
      </c>
      <c r="O4" s="38"/>
      <c r="P4" s="38"/>
    </row>
    <row r="5" spans="2:16">
      <c r="B5" s="1">
        <v>1.93560406</v>
      </c>
      <c r="C5" s="38">
        <f>(D5/B5)</f>
        <v>5.4556612161683526</v>
      </c>
      <c r="D5" s="38">
        <v>10.56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2.4207399999999998E-3</v>
      </c>
      <c r="C6" s="40">
        <v>0</v>
      </c>
      <c r="D6" s="40">
        <f>(B6*C6)</f>
        <v>0</v>
      </c>
      <c r="E6" s="38">
        <f>(B6*J3)</f>
        <v>1.0018675286067674E-2</v>
      </c>
      <c r="G6" s="38"/>
      <c r="H6" s="38"/>
      <c r="J6" s="38"/>
      <c r="M6" t="s">
        <v>11</v>
      </c>
      <c r="N6" s="1">
        <f>($B$5/5)</f>
        <v>0.38712081199999998</v>
      </c>
      <c r="O6" s="35">
        <f>($C$5*Params!K8)</f>
        <v>7.0923595810188589</v>
      </c>
      <c r="P6" s="38">
        <f>(O6*N6)</f>
        <v>2.7456000000000005</v>
      </c>
    </row>
    <row r="7" spans="2:16">
      <c r="C7" s="38"/>
      <c r="D7" s="38"/>
      <c r="E7" s="38"/>
      <c r="G7" s="38"/>
      <c r="H7" s="38"/>
      <c r="J7" s="38"/>
      <c r="N7" s="1">
        <f>($B$5/5)</f>
        <v>0.38712081199999998</v>
      </c>
      <c r="O7" s="35">
        <f>($C$5*Params!K9)</f>
        <v>8.7290579458693642</v>
      </c>
      <c r="P7" s="38">
        <f>(O7*N7)</f>
        <v>3.3792</v>
      </c>
    </row>
    <row r="8" spans="2:16">
      <c r="C8" s="38"/>
      <c r="D8" s="38"/>
      <c r="E8" s="38"/>
      <c r="G8" s="38"/>
      <c r="H8" s="38"/>
      <c r="J8" s="38"/>
      <c r="N8" s="1">
        <f>($B$5/5)</f>
        <v>0.38712081199999998</v>
      </c>
      <c r="O8" s="35">
        <f>($C$5*Params!K10)</f>
        <v>12.002454675570377</v>
      </c>
      <c r="P8" s="38">
        <f>(O8*N8)</f>
        <v>4.6464000000000008</v>
      </c>
    </row>
    <row r="9" spans="2:16">
      <c r="C9" s="38"/>
      <c r="D9" s="38"/>
      <c r="E9" s="38"/>
      <c r="F9" t="s">
        <v>9</v>
      </c>
      <c r="G9" s="38">
        <f>(D10/B10)</f>
        <v>5.4488466814253362</v>
      </c>
      <c r="H9" s="38"/>
      <c r="J9" s="38"/>
      <c r="N9" s="1">
        <f>($B$5/5)</f>
        <v>0.38712081199999998</v>
      </c>
      <c r="O9" s="35">
        <f>($C$5*Params!K11)</f>
        <v>21.822644864673411</v>
      </c>
      <c r="P9" s="38">
        <f>(O9*N9)</f>
        <v>8.4480000000000004</v>
      </c>
    </row>
    <row r="10" spans="2:16">
      <c r="B10" s="1">
        <f>(SUM(B5:B9))</f>
        <v>1.9380248</v>
      </c>
      <c r="C10" s="38"/>
      <c r="D10" s="38">
        <f>(SUM(D5:D9))</f>
        <v>10.56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19.219200000000001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5"/>
  <sheetViews>
    <sheetView workbookViewId="0">
      <selection activeCell="W41" sqref="W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0.55352655072114088</v>
      </c>
      <c r="M3" t="s">
        <v>4</v>
      </c>
      <c r="N3" s="19">
        <f>(INDEX(N5:N14,MATCH(MAX(O6:O7),O5:O14,0))/0.9)</f>
        <v>11.441378022222223</v>
      </c>
      <c r="O3" s="37">
        <f>(MAX(O6:O7)*0.85)</f>
        <v>0.48540838895304461</v>
      </c>
      <c r="P3" s="38">
        <f>(O3*N3)</f>
        <v>5.5537408731696605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17.09938758277081</v>
      </c>
      <c r="K4" s="4">
        <f>(J4/D14-1)</f>
        <v>6.3131108779127549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54.298995060000003</v>
      </c>
      <c r="S5" s="38">
        <f>(T5/R5)</f>
        <v>0.35175604960818591</v>
      </c>
      <c r="T5" s="38">
        <f>(SUM(D5:D7))</f>
        <v>19.100000000000001</v>
      </c>
    </row>
    <row r="6" spans="2:20">
      <c r="B6" s="20">
        <v>0.72398359000000001</v>
      </c>
      <c r="C6" s="40">
        <v>0</v>
      </c>
      <c r="D6" s="40">
        <f>(B6*C6)</f>
        <v>0</v>
      </c>
      <c r="E6" s="38">
        <f>(B6*J3)</f>
        <v>0.40074413935140868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(B$14/3)</f>
        <v>10.297240220000001</v>
      </c>
      <c r="O7" s="38">
        <f>($C$5*Params!K9)</f>
        <v>0.57106869288593487</v>
      </c>
      <c r="P7" s="38">
        <f>(O7*N7)</f>
        <v>5.8804315127678768</v>
      </c>
      <c r="Q7" t="s">
        <v>12</v>
      </c>
      <c r="R7" s="19">
        <f>B9+B10+B11</f>
        <v>2.7927256000000007</v>
      </c>
      <c r="S7" s="38">
        <v>0</v>
      </c>
      <c r="T7" s="39">
        <f>D9+D10+D11</f>
        <v>-2.9235217699999998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(B$14/3)</f>
        <v>10.297240220000001</v>
      </c>
      <c r="O8" s="38">
        <f>($C$5*Params!K10)</f>
        <v>0.78521945271816052</v>
      </c>
      <c r="P8" s="38">
        <f>(O8*N8)</f>
        <v>8.0855933300558309</v>
      </c>
      <c r="R8" s="19">
        <f>B12</f>
        <v>-15.44</v>
      </c>
      <c r="S8" s="39">
        <f>C12</f>
        <v>0.56901544106217616</v>
      </c>
      <c r="T8" s="39">
        <f>D12</f>
        <v>-8.7855984100000004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(B$14/3)</f>
        <v>10.297240220000001</v>
      </c>
      <c r="O9" s="38">
        <f>($C$5*Params!K11)</f>
        <v>1.4276717322148371</v>
      </c>
      <c r="P9" s="38">
        <f>(O9*N9)</f>
        <v>14.701078781919692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33.719800984743401</v>
      </c>
    </row>
    <row r="12" spans="2:20">
      <c r="B12" s="19">
        <v>-15.44</v>
      </c>
      <c r="C12" s="39">
        <f>D12/B12</f>
        <v>0.56901544106217616</v>
      </c>
      <c r="D12" s="38">
        <v>-8.7855984100000004</v>
      </c>
    </row>
    <row r="13" spans="2:20">
      <c r="F13" t="s">
        <v>9</v>
      </c>
      <c r="G13" s="38">
        <f>(D14/B14)</f>
        <v>7.5689615535970603E-2</v>
      </c>
    </row>
    <row r="14" spans="2:20">
      <c r="B14" s="19">
        <f>(SUM(B5:B13))</f>
        <v>30.891720660000004</v>
      </c>
      <c r="D14" s="38">
        <f>(SUM(D5:D13))</f>
        <v>2.3381824600000005</v>
      </c>
    </row>
    <row r="18" spans="14:20">
      <c r="R18">
        <f>(SUM(R5:R17))</f>
        <v>30.891720660000004</v>
      </c>
      <c r="T18" s="38">
        <f>(SUM(T5:T17))</f>
        <v>2.3381824600000005</v>
      </c>
    </row>
    <row r="25" spans="14:20">
      <c r="N25" s="19"/>
    </row>
  </sheetData>
  <conditionalFormatting sqref="C5 C7 C10:C11 G13 O8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workbookViewId="0">
      <selection activeCell="N3" sqref="N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0.10615033896295691</v>
      </c>
      <c r="M3" t="s">
        <v>4</v>
      </c>
      <c r="N3" s="29">
        <f>(INDEX(N5:N28,MATCH(MAX(O6:O7),O5:O28,0))/0.9)</f>
        <v>13.954464377777779</v>
      </c>
      <c r="O3" s="37">
        <f>(MAX(O6:O7)*0.85)</f>
        <v>8.5765186271263935E-2</v>
      </c>
      <c r="P3" s="38">
        <f>(O3*N3)</f>
        <v>1.1968072366758284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4.5425513357095282</v>
      </c>
      <c r="K4" s="4">
        <f>(J4/D13-1)</f>
        <v>1.933386459182334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9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9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-B11</f>
        <v>12.55901794</v>
      </c>
      <c r="O7" s="38">
        <f>($C$5*Params!K9)</f>
        <v>0.10090021914266345</v>
      </c>
      <c r="P7" s="38">
        <f>-D11</f>
        <v>1.2941590000000001</v>
      </c>
      <c r="Q7" t="s">
        <v>12</v>
      </c>
      <c r="R7" s="29">
        <f>B7+B10+B8+B9</f>
        <v>4.1808636000000003</v>
      </c>
      <c r="S7" s="38">
        <f>(C7)</f>
        <v>9.5823336979011353E-2</v>
      </c>
      <c r="T7" s="38">
        <f>D7+D10+D8+D9</f>
        <v>-0.17389399999999999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3*($B$5+$R$7)/5-N7-N6</f>
        <v>15.749618670000002</v>
      </c>
      <c r="O8" s="38">
        <f>($C$5*Params!K10)</f>
        <v>0.13873780132116226</v>
      </c>
      <c r="P8" s="38">
        <f>(O8*N8)</f>
        <v>2.1850674659225282</v>
      </c>
      <c r="R8" s="29">
        <f>B11</f>
        <v>-12.55901794</v>
      </c>
      <c r="S8" s="38">
        <f>T8/R8</f>
        <v>0.10304619407208204</v>
      </c>
      <c r="T8" s="38">
        <f>D11</f>
        <v>-1.2941590000000001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($B$5+$R$7)/5</f>
        <v>13.521972719999999</v>
      </c>
      <c r="O9" s="38">
        <f>($C$5*Params!K11)</f>
        <v>0.25225054785665862</v>
      </c>
      <c r="P9" s="38">
        <f>(O9*N9)</f>
        <v>3.4109250267227922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B11" s="19">
        <v>-12.55901794</v>
      </c>
      <c r="C11" s="35">
        <f>D11/B11</f>
        <v>0.10304619407208204</v>
      </c>
      <c r="D11" s="38">
        <f>-1.294159</f>
        <v>-1.2941590000000001</v>
      </c>
      <c r="N11" s="29"/>
      <c r="O11" s="38"/>
      <c r="P11" s="38"/>
      <c r="R11" s="24"/>
      <c r="S11" s="38"/>
      <c r="T11" s="38"/>
    </row>
    <row r="12" spans="2:20">
      <c r="C12" s="38"/>
      <c r="D12" s="38"/>
      <c r="F12" t="s">
        <v>9</v>
      </c>
      <c r="G12" s="38">
        <f>(D13/B13)</f>
        <v>3.6186960170446057E-2</v>
      </c>
      <c r="O12" s="38"/>
      <c r="P12" s="38">
        <f>(SUM(P6:P9))</f>
        <v>7.8735294926453196</v>
      </c>
      <c r="R12" s="24"/>
      <c r="S12" s="38"/>
      <c r="T12" s="38"/>
    </row>
    <row r="13" spans="2:20">
      <c r="B13" s="19">
        <f>(SUM(B5:B12))</f>
        <v>42.793564110000005</v>
      </c>
      <c r="C13" s="38"/>
      <c r="D13" s="38">
        <f>(SUM(D5:D12))</f>
        <v>1.5485690000000001</v>
      </c>
      <c r="O13" s="38"/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3">
      <c r="R17" s="24"/>
      <c r="S17" s="38"/>
      <c r="T17" s="38"/>
    </row>
    <row r="18" spans="18:23">
      <c r="R18" s="24"/>
      <c r="S18" s="38"/>
      <c r="T18" s="38"/>
    </row>
    <row r="19" spans="18:23">
      <c r="R19" s="24"/>
      <c r="S19" s="38"/>
      <c r="T19" s="38"/>
    </row>
    <row r="20" spans="18:23">
      <c r="R20" s="24"/>
      <c r="S20" s="38"/>
      <c r="T20" s="38"/>
    </row>
    <row r="21" spans="18:23">
      <c r="R21" s="24"/>
      <c r="S21" s="38"/>
      <c r="T21" s="38"/>
    </row>
    <row r="22" spans="18:23">
      <c r="R22" s="24"/>
      <c r="S22" s="38"/>
      <c r="T22" s="38"/>
    </row>
    <row r="23" spans="18:23">
      <c r="R23" s="24"/>
      <c r="S23" s="38"/>
      <c r="T23" s="38"/>
      <c r="V23" s="39"/>
    </row>
    <row r="25" spans="18:23">
      <c r="S25" s="38"/>
      <c r="T25" s="38"/>
    </row>
    <row r="26" spans="18:23">
      <c r="S26" s="38"/>
      <c r="T26" s="38"/>
    </row>
    <row r="27" spans="18:23">
      <c r="S27" s="38"/>
      <c r="T27" s="38"/>
    </row>
    <row r="28" spans="18:23">
      <c r="S28" s="38"/>
      <c r="T28" s="38"/>
    </row>
    <row r="29" spans="18:23">
      <c r="S29" s="38"/>
      <c r="T29" s="38"/>
    </row>
    <row r="30" spans="18:23">
      <c r="S30" s="38"/>
      <c r="T30" s="38"/>
    </row>
    <row r="31" spans="18:23">
      <c r="S31" s="38"/>
      <c r="T31" s="38"/>
    </row>
    <row r="32" spans="18:23">
      <c r="R32" s="24">
        <f>(SUM(R5:R30))</f>
        <v>42.793564110000005</v>
      </c>
      <c r="S32" s="38"/>
      <c r="T32" s="38">
        <f>(SUM(T5:T30))</f>
        <v>1.5485690000000001</v>
      </c>
      <c r="V32" t="s">
        <v>9</v>
      </c>
      <c r="W32" s="38">
        <f>(T32/R32)</f>
        <v>3.6186960170446057E-2</v>
      </c>
    </row>
    <row r="33" spans="19:20">
      <c r="S33" s="38"/>
      <c r="T33" s="38"/>
    </row>
    <row r="34" spans="19:20">
      <c r="S34" s="38"/>
      <c r="T34" s="38"/>
    </row>
    <row r="35" spans="19:20">
      <c r="S35" s="38"/>
      <c r="T35" s="38"/>
    </row>
    <row r="36" spans="19:20">
      <c r="S36" s="38"/>
      <c r="T36" s="38"/>
    </row>
  </sheetData>
  <conditionalFormatting sqref="C5 C9:C10 G12 O8:O9 S5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2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0.65161311226545093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1.9055246048469914</v>
      </c>
      <c r="K4" s="4">
        <f>(J4/D10-1)</f>
        <v>-0.3648251317176695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3.8961609542824279E-3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2.3353588759968873</v>
      </c>
      <c r="K4" s="4">
        <f>(J4/D10-1)</f>
        <v>-0.22154704133437086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0.1833539048792388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1.1154884865043131</v>
      </c>
      <c r="K4" s="4">
        <f>(J4/D9-1)</f>
        <v>-0.96135836585692391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O11:O14">
    <cfRule type="cellIs" dxfId="235" priority="7" operator="lessThan">
      <formula>$J$3</formula>
    </cfRule>
    <cfRule type="cellIs" dxfId="234" priority="8" operator="greaterThan">
      <formula>$J$3</formula>
    </cfRule>
  </conditionalFormatting>
  <conditionalFormatting sqref="O20:O23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29:O32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N6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abSelected="1" topLeftCell="A7" workbookViewId="0">
      <selection activeCell="L46" sqref="L4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681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2.1740753911052729E-3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7.4690448151222322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-52.843999999999937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-261.48495518487772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-179.22495518487773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681</v>
      </c>
      <c r="E34">
        <f t="shared" ref="E34:E40" si="1">C34*D34</f>
        <v>4258.9739999999993</v>
      </c>
      <c r="F34" s="29">
        <f t="shared" ref="F34:F40" si="2">E34*$N$5</f>
        <v>3547.7253419999993</v>
      </c>
      <c r="G34" s="38">
        <v>3.5</v>
      </c>
      <c r="H34" s="30">
        <f>G50</f>
        <v>1.5615590400000001</v>
      </c>
      <c r="I34" s="39">
        <f t="shared" ref="I34:I41" si="3">((F34-H34*D34)*$J$3-G34)</f>
        <v>1.9010633985391721</v>
      </c>
      <c r="J34">
        <v>1</v>
      </c>
      <c r="K34" s="44">
        <f t="shared" ref="K34:K40" si="4">I34*J34</f>
        <v>1.9010633985391721</v>
      </c>
      <c r="L34" s="31">
        <v>24.8</v>
      </c>
      <c r="M34" s="31">
        <f t="shared" ref="M34:M40" si="5">L34*J34</f>
        <v>24.8</v>
      </c>
    </row>
    <row r="35" spans="2:16">
      <c r="B35" s="8" t="s">
        <v>42</v>
      </c>
      <c r="C35">
        <v>0.96599999999999997</v>
      </c>
      <c r="D35">
        <f>$H$2</f>
        <v>681</v>
      </c>
      <c r="E35">
        <f t="shared" si="1"/>
        <v>657.846</v>
      </c>
      <c r="F35" s="29">
        <f t="shared" si="2"/>
        <v>547.98571800000002</v>
      </c>
      <c r="G35" s="38">
        <v>3.5</v>
      </c>
      <c r="H35" s="30">
        <f>G51</f>
        <v>0.21337130135885166</v>
      </c>
      <c r="I35" s="39">
        <f t="shared" si="3"/>
        <v>-2.6245436220221214</v>
      </c>
      <c r="J35">
        <v>1</v>
      </c>
      <c r="K35" s="44">
        <f t="shared" si="4"/>
        <v>-2.6245436220221214</v>
      </c>
      <c r="L35" s="31">
        <v>6.6</v>
      </c>
      <c r="M35" s="31">
        <f t="shared" si="5"/>
        <v>6.6</v>
      </c>
    </row>
    <row r="36" spans="2:16">
      <c r="B36" s="8" t="s">
        <v>44</v>
      </c>
      <c r="C36">
        <v>0.85099999999999998</v>
      </c>
      <c r="D36">
        <f>$H$2</f>
        <v>681</v>
      </c>
      <c r="E36">
        <f t="shared" si="1"/>
        <v>579.53099999999995</v>
      </c>
      <c r="F36" s="29">
        <f t="shared" si="2"/>
        <v>482.74932299999995</v>
      </c>
      <c r="G36" s="38">
        <v>3.5</v>
      </c>
      <c r="H36" s="30">
        <f>G52</f>
        <v>0.18479602162162162</v>
      </c>
      <c r="I36" s="39">
        <f t="shared" si="3"/>
        <v>-2.7240654657035246</v>
      </c>
      <c r="J36">
        <v>1</v>
      </c>
      <c r="K36" s="44">
        <f t="shared" si="4"/>
        <v>-2.7240654657035246</v>
      </c>
      <c r="L36" s="31">
        <v>5.15</v>
      </c>
      <c r="M36" s="31">
        <f t="shared" si="5"/>
        <v>5.15</v>
      </c>
    </row>
    <row r="37" spans="2:16">
      <c r="B37" s="8" t="s">
        <v>44</v>
      </c>
      <c r="C37">
        <v>0.85099999999999998</v>
      </c>
      <c r="D37">
        <f>$H$2-34</f>
        <v>647</v>
      </c>
      <c r="E37">
        <f t="shared" si="1"/>
        <v>550.59699999999998</v>
      </c>
      <c r="F37" s="29">
        <f t="shared" si="2"/>
        <v>458.64730099999997</v>
      </c>
      <c r="G37" s="38">
        <v>0</v>
      </c>
      <c r="H37" s="30">
        <f>G52</f>
        <v>0.18479602162162162</v>
      </c>
      <c r="I37" s="39">
        <f t="shared" si="3"/>
        <v>0.73719477781177634</v>
      </c>
      <c r="J37">
        <v>3</v>
      </c>
      <c r="K37" s="44">
        <f t="shared" si="4"/>
        <v>2.2115843334353289</v>
      </c>
      <c r="L37" s="31">
        <f>L36</f>
        <v>5.15</v>
      </c>
      <c r="M37" s="31">
        <f t="shared" si="5"/>
        <v>15.450000000000001</v>
      </c>
    </row>
    <row r="38" spans="2:16">
      <c r="B38" s="8" t="s">
        <v>44</v>
      </c>
      <c r="C38">
        <v>0.85099999999999998</v>
      </c>
      <c r="D38">
        <f>$H$2-34-58</f>
        <v>589</v>
      </c>
      <c r="E38">
        <f t="shared" si="1"/>
        <v>501.23899999999998</v>
      </c>
      <c r="F38" s="29">
        <f t="shared" si="2"/>
        <v>417.53208699999993</v>
      </c>
      <c r="G38" s="38">
        <v>0</v>
      </c>
      <c r="H38" s="30">
        <f>H37</f>
        <v>0.18479602162162162</v>
      </c>
      <c r="I38" s="39">
        <f t="shared" si="3"/>
        <v>0.67110931086728942</v>
      </c>
      <c r="J38">
        <v>1</v>
      </c>
      <c r="K38" s="44">
        <f t="shared" si="4"/>
        <v>0.67110931086728942</v>
      </c>
      <c r="L38" s="31">
        <f>L37</f>
        <v>5.15</v>
      </c>
      <c r="M38" s="31">
        <f t="shared" si="5"/>
        <v>5.15</v>
      </c>
    </row>
    <row r="39" spans="2:16">
      <c r="B39" s="8" t="s">
        <v>44</v>
      </c>
      <c r="C39">
        <v>0.85099999999999998</v>
      </c>
      <c r="D39">
        <f>$H$2-140</f>
        <v>541</v>
      </c>
      <c r="E39">
        <f t="shared" si="1"/>
        <v>460.39099999999996</v>
      </c>
      <c r="F39" s="29">
        <f t="shared" si="2"/>
        <v>383.50570299999993</v>
      </c>
      <c r="G39" s="38">
        <v>0</v>
      </c>
      <c r="H39" s="30">
        <f>H38</f>
        <v>0.18479602162162162</v>
      </c>
      <c r="I39" s="39">
        <f t="shared" si="3"/>
        <v>0.61641788994771396</v>
      </c>
      <c r="J39">
        <v>1</v>
      </c>
      <c r="K39" s="44">
        <f t="shared" si="4"/>
        <v>0.61641788994771396</v>
      </c>
      <c r="L39" s="31">
        <f>L38</f>
        <v>5.15</v>
      </c>
      <c r="M39" s="31">
        <f t="shared" si="5"/>
        <v>5.15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8.9988173947799566E-2</v>
      </c>
      <c r="J40" s="16">
        <v>1</v>
      </c>
      <c r="K40" s="46">
        <f t="shared" si="4"/>
        <v>8.9988173947799566E-2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407</v>
      </c>
      <c r="E41">
        <f>(C41*D41)</f>
        <v>346.35699999999997</v>
      </c>
      <c r="F41" s="29">
        <f>(E41*$N$5)</f>
        <v>288.51538099999999</v>
      </c>
      <c r="G41" s="38">
        <v>0</v>
      </c>
      <c r="H41" s="29">
        <f>(H37)</f>
        <v>0.18479602162162162</v>
      </c>
      <c r="I41" s="39">
        <f t="shared" si="3"/>
        <v>0.46373767321389953</v>
      </c>
      <c r="J41">
        <v>1</v>
      </c>
      <c r="K41" s="44">
        <f>(I41*J41)</f>
        <v>0.46373767321389953</v>
      </c>
      <c r="L41" s="31">
        <f>(L39)</f>
        <v>5.15</v>
      </c>
      <c r="M41" s="31">
        <f>(L41*J41)</f>
        <v>5.15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0.23</v>
      </c>
      <c r="M43" s="31">
        <f>(L43*J43)</f>
        <v>0.23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0.19</v>
      </c>
      <c r="M45" s="31">
        <f>(L45*J45)</f>
        <v>0.19</v>
      </c>
    </row>
    <row r="46" spans="2:16">
      <c r="L46" t="s">
        <v>34</v>
      </c>
      <c r="M46" s="31">
        <f>(SUM(M33:M45))</f>
        <v>82.26</v>
      </c>
      <c r="O46" s="31">
        <f>(J13+SUM(G34:G40)-D74)</f>
        <v>2.6626928151222327</v>
      </c>
      <c r="P46">
        <f>(O46/J3)</f>
        <v>1224.7472309451757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7" priority="17" operator="lessThan">
      <formula>$C$5</formula>
    </cfRule>
    <cfRule type="cellIs" dxfId="226" priority="18" operator="greaterThan">
      <formula>$C$5</formula>
    </cfRule>
  </conditionalFormatting>
  <conditionalFormatting sqref="L35">
    <cfRule type="cellIs" dxfId="225" priority="15" operator="lessThan">
      <formula>$C$6</formula>
    </cfRule>
    <cfRule type="cellIs" dxfId="224" priority="16" operator="greaterThan">
      <formula>$C$6</formula>
    </cfRule>
  </conditionalFormatting>
  <conditionalFormatting sqref="L39">
    <cfRule type="cellIs" dxfId="223" priority="13" operator="lessThan">
      <formula>$C$20</formula>
    </cfRule>
    <cfRule type="cellIs" dxfId="222" priority="14" operator="greaterThan">
      <formula>$C$20</formula>
    </cfRule>
  </conditionalFormatting>
  <conditionalFormatting sqref="L38">
    <cfRule type="cellIs" dxfId="221" priority="11" operator="lessThan">
      <formula>$C$19</formula>
    </cfRule>
    <cfRule type="cellIs" dxfId="220" priority="12" operator="greaterThan">
      <formula>$C$19</formula>
    </cfRule>
  </conditionalFormatting>
  <conditionalFormatting sqref="L37">
    <cfRule type="cellIs" dxfId="219" priority="9" operator="lessThan">
      <formula>$C$17</formula>
    </cfRule>
    <cfRule type="cellIs" dxfId="218" priority="10" operator="greaterThan">
      <formula>$C$17</formula>
    </cfRule>
  </conditionalFormatting>
  <conditionalFormatting sqref="L36">
    <cfRule type="cellIs" dxfId="217" priority="7" operator="lessThan">
      <formula>$C$7</formula>
    </cfRule>
    <cfRule type="cellIs" dxfId="216" priority="8" operator="greaterThan">
      <formula>$C$7</formula>
    </cfRule>
  </conditionalFormatting>
  <conditionalFormatting sqref="L41">
    <cfRule type="cellIs" dxfId="215" priority="5" operator="lessThan">
      <formula>$C$30</formula>
    </cfRule>
    <cfRule type="cellIs" dxfId="214" priority="6" operator="greaterThan">
      <formula>$C$30</formula>
    </cfRule>
  </conditionalFormatting>
  <conditionalFormatting sqref="L42">
    <cfRule type="cellIs" dxfId="213" priority="3" operator="lessThan">
      <formula>$C$27</formula>
    </cfRule>
    <cfRule type="cellIs" dxfId="212" priority="4" operator="greaterThan">
      <formula>$C$27</formula>
    </cfRule>
  </conditionalFormatting>
  <conditionalFormatting sqref="L43:L45">
    <cfRule type="cellIs" dxfId="211" priority="1" operator="lessThan">
      <formula>$C$7</formula>
    </cfRule>
    <cfRule type="cellIs" dxfId="21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0.29513619897577131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32.498946845828961</v>
      </c>
      <c r="K4" s="4">
        <f>(J4/D13-1)</f>
        <v>-0.11663727851081862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0.64434400000000003</v>
      </c>
      <c r="C6" s="40">
        <v>0</v>
      </c>
      <c r="D6" s="40">
        <f>(B6*C6)</f>
        <v>0</v>
      </c>
      <c r="E6" s="38">
        <f>(B6*J3)</f>
        <v>0.19016923899284441</v>
      </c>
      <c r="M6" t="s">
        <v>11</v>
      </c>
      <c r="N6" s="1">
        <f>($B$13/5)</f>
        <v>22.023016464000001</v>
      </c>
      <c r="O6" s="38">
        <f>($S$7*Params!K8)</f>
        <v>0.44172427277870546</v>
      </c>
      <c r="P6" s="38">
        <f>(O6*N6)</f>
        <v>9.7281009319538576</v>
      </c>
      <c r="R6" s="2">
        <f>(B6)</f>
        <v>0.64434400000000003</v>
      </c>
      <c r="S6" s="40">
        <v>0</v>
      </c>
      <c r="T6" s="40">
        <f>(D6)</f>
        <v>0</v>
      </c>
      <c r="U6" s="38">
        <f>(R6*J3)</f>
        <v>0.19016923899284441</v>
      </c>
    </row>
    <row r="7" spans="2:21">
      <c r="B7" s="1">
        <v>106.83134912</v>
      </c>
      <c r="C7" s="38">
        <f>(D7/B7)</f>
        <v>0.33978790213746574</v>
      </c>
      <c r="D7" s="38">
        <v>36.299999999999997</v>
      </c>
      <c r="E7" t="s">
        <v>15</v>
      </c>
      <c r="N7" s="1">
        <f>($B$13/5)</f>
        <v>22.023016464000001</v>
      </c>
      <c r="O7" s="38">
        <f>($S$7*Params!K9)</f>
        <v>0.54366064341994524</v>
      </c>
      <c r="P7" s="38">
        <f>(O7*N7)</f>
        <v>11.973047300866288</v>
      </c>
      <c r="R7" s="29">
        <f>B7</f>
        <v>106.83134912</v>
      </c>
      <c r="S7" s="38">
        <f>(T7/R7)</f>
        <v>0.33978790213746574</v>
      </c>
      <c r="T7" s="38">
        <f>D7</f>
        <v>36.299999999999997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22.023016464000001</v>
      </c>
      <c r="O8" s="38">
        <f>($C$7*Params!K10)</f>
        <v>0.7475333847024247</v>
      </c>
      <c r="P8" s="38">
        <f>(O8*N8)</f>
        <v>16.462940038691144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22.023016464000001</v>
      </c>
      <c r="O9" s="38">
        <f>($C$7*Params!K11)</f>
        <v>1.3591516085498629</v>
      </c>
      <c r="P9" s="38">
        <f>(O9*N9)</f>
        <v>29.932618252165717</v>
      </c>
    </row>
    <row r="10" spans="2:21">
      <c r="N10" s="1"/>
      <c r="P10" s="38"/>
    </row>
    <row r="11" spans="2:21">
      <c r="P11" s="38">
        <f>(SUM(P6:P9))</f>
        <v>68.096706523677</v>
      </c>
    </row>
    <row r="12" spans="2:21">
      <c r="F12" t="s">
        <v>9</v>
      </c>
      <c r="G12" s="35">
        <f>(D13/B13)</f>
        <v>0.33410533611632137</v>
      </c>
    </row>
    <row r="13" spans="2:21">
      <c r="B13" s="1">
        <f>(SUM(B5:B12))</f>
        <v>110.11508232</v>
      </c>
      <c r="D13" s="38">
        <f>(SUM(D5:D12))</f>
        <v>36.79003659</v>
      </c>
      <c r="R13" s="1">
        <f>(SUM(R5:R12))</f>
        <v>110.11508232</v>
      </c>
      <c r="T13" s="38">
        <f>(SUM(T5:T12))</f>
        <v>36.79003659</v>
      </c>
    </row>
  </sheetData>
  <conditionalFormatting sqref="C5 C7 G12 S5 S7">
    <cfRule type="cellIs" dxfId="209" priority="15" operator="lessThan">
      <formula>$J$3</formula>
    </cfRule>
    <cfRule type="cellIs" dxfId="208" priority="16" operator="greaterThan">
      <formula>$J$3</formula>
    </cfRule>
  </conditionalFormatting>
  <conditionalFormatting sqref="O6:O9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0.1027751412000855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6.5043369829321591</v>
      </c>
      <c r="K4" s="4">
        <f>(J4/D14-1)</f>
        <v>-0.33803918078530704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0.54425488</v>
      </c>
      <c r="C6" s="40">
        <v>0</v>
      </c>
      <c r="D6" s="40">
        <f>(B6*C6)</f>
        <v>0</v>
      </c>
      <c r="E6" s="38">
        <f>(B6*J3)</f>
        <v>5.5935872140835591E-2</v>
      </c>
      <c r="M6" t="s">
        <v>11</v>
      </c>
      <c r="N6" s="29">
        <f>($B$14/5)</f>
        <v>12.657412885999999</v>
      </c>
      <c r="O6" s="38">
        <f>($C$5*Params!K8)</f>
        <v>0.21940472231459929</v>
      </c>
      <c r="P6" s="38">
        <f>(O6*N6)</f>
        <v>2.7770961594740609</v>
      </c>
      <c r="R6" s="25">
        <f>(B6)</f>
        <v>0.54425488</v>
      </c>
      <c r="S6" s="40">
        <v>0</v>
      </c>
      <c r="T6" s="40">
        <f>(D6)</f>
        <v>0</v>
      </c>
      <c r="U6" s="38">
        <f>(E6)</f>
        <v>5.5935872140835591E-2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12.657412885999999</v>
      </c>
      <c r="O7" s="38">
        <f>($C$5*Params!K9)</f>
        <v>0.27003658131027602</v>
      </c>
      <c r="P7" s="38">
        <f>(O7*N7)</f>
        <v>3.4179645039680744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12.657412885999999</v>
      </c>
      <c r="O8" s="38">
        <f>($C$5*Params!K10)</f>
        <v>0.37130029930162955</v>
      </c>
      <c r="P8" s="38">
        <f>(O8*N8)</f>
        <v>4.6997011929561028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12.657412885999999</v>
      </c>
      <c r="O9" s="38">
        <f>($C$5*Params!K11)</f>
        <v>0.67509145327569009</v>
      </c>
      <c r="P9" s="38">
        <f>(O9*N9)</f>
        <v>8.5449112599201857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19.439673116318424</v>
      </c>
    </row>
    <row r="13" spans="2:21">
      <c r="F13" t="s">
        <v>9</v>
      </c>
      <c r="G13" s="38">
        <f>(D14/B14)</f>
        <v>0.15525864706314677</v>
      </c>
    </row>
    <row r="14" spans="2:21">
      <c r="B14" s="29">
        <f>(SUM(B5:B13))</f>
        <v>63.287064430000001</v>
      </c>
      <c r="D14" s="38">
        <f>(SUM(D5:D13))</f>
        <v>9.8258639999999993</v>
      </c>
    </row>
    <row r="17" spans="11:20">
      <c r="N17" s="29"/>
      <c r="R17" s="29">
        <f>(SUM(R5:R16))</f>
        <v>63.287064430000001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3" priority="13" operator="lessThan">
      <formula>$J$3</formula>
    </cfRule>
    <cfRule type="cellIs" dxfId="202" priority="14" operator="greaterThan">
      <formula>$J$3</formula>
    </cfRule>
  </conditionalFormatting>
  <conditionalFormatting sqref="C9:C10">
    <cfRule type="cellIs" dxfId="201" priority="11" operator="lessThan">
      <formula>$J$3</formula>
    </cfRule>
    <cfRule type="cellIs" dxfId="200" priority="12" operator="greaterThan">
      <formula>$J$3</formula>
    </cfRule>
  </conditionalFormatting>
  <conditionalFormatting sqref="O6:O9">
    <cfRule type="cellIs" dxfId="199" priority="9" operator="lessThan">
      <formula>$J$3</formula>
    </cfRule>
    <cfRule type="cellIs" dxfId="198" priority="10" operator="greaterThan">
      <formula>$J$3</formula>
    </cfRule>
  </conditionalFormatting>
  <conditionalFormatting sqref="S5 S7:S8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6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13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2023-10-29T14:05:51Z</dcterms:modified>
</cp:coreProperties>
</file>