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5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C4" i="6"/>
  <c r="N26" i="35" l="1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O9"/>
  <c r="P9" s="1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B14" i="32"/>
  <c r="J4" s="1"/>
  <c r="C12"/>
  <c r="D11"/>
  <c r="C10"/>
  <c r="T9"/>
  <c r="S9"/>
  <c r="R9"/>
  <c r="C9"/>
  <c r="T8"/>
  <c r="R8"/>
  <c r="C8"/>
  <c r="T7"/>
  <c r="S7"/>
  <c r="R7"/>
  <c r="P7"/>
  <c r="N7"/>
  <c r="N9" s="1"/>
  <c r="C7"/>
  <c r="T6"/>
  <c r="R6"/>
  <c r="R33" s="1"/>
  <c r="N6"/>
  <c r="C6"/>
  <c r="S6" s="1"/>
  <c r="R5"/>
  <c r="C5"/>
  <c r="D14" i="31"/>
  <c r="B14"/>
  <c r="G13"/>
  <c r="C12"/>
  <c r="C11"/>
  <c r="C10"/>
  <c r="O9"/>
  <c r="P9" s="1"/>
  <c r="N9"/>
  <c r="C9"/>
  <c r="T8"/>
  <c r="S8"/>
  <c r="R8"/>
  <c r="N8"/>
  <c r="C8"/>
  <c r="T7"/>
  <c r="R7"/>
  <c r="N7"/>
  <c r="C7"/>
  <c r="T6"/>
  <c r="S6"/>
  <c r="R6"/>
  <c r="P6"/>
  <c r="O6"/>
  <c r="N6"/>
  <c r="E6"/>
  <c r="D6"/>
  <c r="T5"/>
  <c r="R5"/>
  <c r="R18" s="1"/>
  <c r="C5"/>
  <c r="O8" s="1"/>
  <c r="P8" s="1"/>
  <c r="K4"/>
  <c r="J4"/>
  <c r="D10" i="30"/>
  <c r="G9" s="1"/>
  <c r="B10"/>
  <c r="N9"/>
  <c r="N8"/>
  <c r="O7"/>
  <c r="P7" s="1"/>
  <c r="N7"/>
  <c r="N6"/>
  <c r="E6"/>
  <c r="D6"/>
  <c r="C5"/>
  <c r="O9" s="1"/>
  <c r="P9" s="1"/>
  <c r="J4"/>
  <c r="D13" i="29"/>
  <c r="B13"/>
  <c r="G12"/>
  <c r="Q9"/>
  <c r="N9"/>
  <c r="N8"/>
  <c r="Q7"/>
  <c r="N7"/>
  <c r="Q6"/>
  <c r="Q8" s="1"/>
  <c r="N6"/>
  <c r="E6"/>
  <c r="D6"/>
  <c r="C5"/>
  <c r="O9" s="1"/>
  <c r="P9" s="1"/>
  <c r="J4"/>
  <c r="K4" s="1"/>
  <c r="D41" i="28"/>
  <c r="C41"/>
  <c r="S27" s="1"/>
  <c r="C40"/>
  <c r="D39"/>
  <c r="D38"/>
  <c r="C37"/>
  <c r="O15" s="1"/>
  <c r="C36"/>
  <c r="C35"/>
  <c r="B34"/>
  <c r="C34" s="1"/>
  <c r="D33"/>
  <c r="C33"/>
  <c r="C32"/>
  <c r="C31"/>
  <c r="C30"/>
  <c r="D29"/>
  <c r="B28"/>
  <c r="C28" s="1"/>
  <c r="T27"/>
  <c r="R27"/>
  <c r="C27"/>
  <c r="T26"/>
  <c r="S26"/>
  <c r="R26"/>
  <c r="N26"/>
  <c r="B26"/>
  <c r="C26" s="1"/>
  <c r="R25"/>
  <c r="O25"/>
  <c r="N25"/>
  <c r="P25" s="1"/>
  <c r="C25"/>
  <c r="T24"/>
  <c r="S24" s="1"/>
  <c r="R24"/>
  <c r="N24"/>
  <c r="C24"/>
  <c r="T23"/>
  <c r="S23"/>
  <c r="R23"/>
  <c r="P23"/>
  <c r="N23"/>
  <c r="C23"/>
  <c r="T22"/>
  <c r="R22"/>
  <c r="C22"/>
  <c r="O23" s="1"/>
  <c r="T21"/>
  <c r="R21"/>
  <c r="V21" s="1"/>
  <c r="C21"/>
  <c r="R20"/>
  <c r="C20"/>
  <c r="T19"/>
  <c r="R19"/>
  <c r="V19" s="1"/>
  <c r="C19"/>
  <c r="T18"/>
  <c r="R18"/>
  <c r="E18"/>
  <c r="T17"/>
  <c r="R17"/>
  <c r="C17"/>
  <c r="T16"/>
  <c r="R16"/>
  <c r="O16"/>
  <c r="C16"/>
  <c r="O9" s="1"/>
  <c r="T15"/>
  <c r="S15"/>
  <c r="O26" s="1"/>
  <c r="P26" s="1"/>
  <c r="R15"/>
  <c r="P15"/>
  <c r="N15"/>
  <c r="B15"/>
  <c r="E15" s="1"/>
  <c r="T14"/>
  <c r="S14"/>
  <c r="R14"/>
  <c r="O14"/>
  <c r="N14"/>
  <c r="N17" s="1"/>
  <c r="P17" s="1"/>
  <c r="B14"/>
  <c r="T13"/>
  <c r="S13"/>
  <c r="O17" s="1"/>
  <c r="R13"/>
  <c r="N16" s="1"/>
  <c r="D13"/>
  <c r="B13"/>
  <c r="T12"/>
  <c r="R12"/>
  <c r="E12"/>
  <c r="T11"/>
  <c r="S11"/>
  <c r="R11"/>
  <c r="C11"/>
  <c r="T10"/>
  <c r="S10"/>
  <c r="C10"/>
  <c r="U9"/>
  <c r="S9"/>
  <c r="R9"/>
  <c r="P9"/>
  <c r="N9"/>
  <c r="B9"/>
  <c r="C9" s="1"/>
  <c r="R8"/>
  <c r="T8" s="1"/>
  <c r="C8"/>
  <c r="B8"/>
  <c r="T7"/>
  <c r="R7"/>
  <c r="P7"/>
  <c r="C7"/>
  <c r="T6"/>
  <c r="R6"/>
  <c r="O6"/>
  <c r="N6"/>
  <c r="C6"/>
  <c r="B6"/>
  <c r="S5"/>
  <c r="B5"/>
  <c r="D5" s="1"/>
  <c r="D43" s="1"/>
  <c r="D13" i="27"/>
  <c r="B13"/>
  <c r="G12"/>
  <c r="N9"/>
  <c r="N8"/>
  <c r="N7"/>
  <c r="N6"/>
  <c r="E6"/>
  <c r="D6"/>
  <c r="C5"/>
  <c r="J4"/>
  <c r="K4" s="1"/>
  <c r="B19" i="26"/>
  <c r="O17"/>
  <c r="C17"/>
  <c r="O16"/>
  <c r="C16"/>
  <c r="O15"/>
  <c r="C15"/>
  <c r="O14"/>
  <c r="C14"/>
  <c r="C13"/>
  <c r="C12"/>
  <c r="C11"/>
  <c r="C10"/>
  <c r="R9"/>
  <c r="O9"/>
  <c r="D9"/>
  <c r="T8"/>
  <c r="R8"/>
  <c r="C8"/>
  <c r="T7"/>
  <c r="R7"/>
  <c r="R22" s="1"/>
  <c r="E7"/>
  <c r="U6"/>
  <c r="T6"/>
  <c r="S6" s="1"/>
  <c r="R6"/>
  <c r="O6"/>
  <c r="C6"/>
  <c r="T5"/>
  <c r="S5"/>
  <c r="R5"/>
  <c r="C5"/>
  <c r="O8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7" i="24"/>
  <c r="O16"/>
  <c r="N15"/>
  <c r="B15"/>
  <c r="O14"/>
  <c r="C14"/>
  <c r="C13"/>
  <c r="C12"/>
  <c r="C11"/>
  <c r="R10"/>
  <c r="C10"/>
  <c r="C9"/>
  <c r="T8"/>
  <c r="R8"/>
  <c r="C8"/>
  <c r="S8" s="1"/>
  <c r="T7"/>
  <c r="S7"/>
  <c r="O7" s="1"/>
  <c r="R7"/>
  <c r="C7"/>
  <c r="O9" s="1"/>
  <c r="R6"/>
  <c r="U6" s="1"/>
  <c r="E6"/>
  <c r="D6"/>
  <c r="T5"/>
  <c r="R5"/>
  <c r="C5"/>
  <c r="O15" s="1"/>
  <c r="P15" s="1"/>
  <c r="C35" i="23"/>
  <c r="N9" s="1"/>
  <c r="B35"/>
  <c r="E35" s="1"/>
  <c r="C34"/>
  <c r="C33"/>
  <c r="C32"/>
  <c r="B32"/>
  <c r="C31"/>
  <c r="C30"/>
  <c r="C29"/>
  <c r="C28"/>
  <c r="C27"/>
  <c r="B26"/>
  <c r="D26" s="1"/>
  <c r="T21" s="1"/>
  <c r="S21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D18" i="22"/>
  <c r="D17"/>
  <c r="D16"/>
  <c r="D15"/>
  <c r="D14"/>
  <c r="D13"/>
  <c r="D12"/>
  <c r="D11"/>
  <c r="D10"/>
  <c r="D9"/>
  <c r="D8"/>
  <c r="B7"/>
  <c r="E6"/>
  <c r="D6"/>
  <c r="D20" s="1"/>
  <c r="D5"/>
  <c r="R21" i="21"/>
  <c r="B15"/>
  <c r="C13"/>
  <c r="C12"/>
  <c r="C11"/>
  <c r="C10"/>
  <c r="C9"/>
  <c r="T8"/>
  <c r="R8"/>
  <c r="U8" s="1"/>
  <c r="N8"/>
  <c r="C8"/>
  <c r="T7"/>
  <c r="S7" s="1"/>
  <c r="R7"/>
  <c r="O7"/>
  <c r="C7"/>
  <c r="R6"/>
  <c r="N6"/>
  <c r="E6"/>
  <c r="D6"/>
  <c r="T5"/>
  <c r="S5"/>
  <c r="R5"/>
  <c r="N9" s="1"/>
  <c r="C5"/>
  <c r="J4"/>
  <c r="B11" i="20"/>
  <c r="J4" s="1"/>
  <c r="R9"/>
  <c r="D9"/>
  <c r="C9" s="1"/>
  <c r="T8"/>
  <c r="R8"/>
  <c r="N8"/>
  <c r="C8"/>
  <c r="O7" s="1"/>
  <c r="R7"/>
  <c r="D7"/>
  <c r="T7" s="1"/>
  <c r="S7" s="1"/>
  <c r="C7"/>
  <c r="R6"/>
  <c r="P6"/>
  <c r="O6"/>
  <c r="N6"/>
  <c r="N7" s="1"/>
  <c r="P7" s="1"/>
  <c r="E6"/>
  <c r="D6"/>
  <c r="T5"/>
  <c r="S5"/>
  <c r="R5"/>
  <c r="C5"/>
  <c r="O9" s="1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9" i="12"/>
  <c r="N18"/>
  <c r="N17"/>
  <c r="P16"/>
  <c r="O16"/>
  <c r="N16"/>
  <c r="B15"/>
  <c r="J4" s="1"/>
  <c r="K4" s="1"/>
  <c r="C13"/>
  <c r="C12"/>
  <c r="C11"/>
  <c r="C10"/>
  <c r="O18" s="1"/>
  <c r="P18" s="1"/>
  <c r="O9"/>
  <c r="C9"/>
  <c r="U8"/>
  <c r="T8"/>
  <c r="S8" s="1"/>
  <c r="R8"/>
  <c r="O8"/>
  <c r="C8"/>
  <c r="T7"/>
  <c r="V7" s="1"/>
  <c r="R7"/>
  <c r="N9" s="1"/>
  <c r="N7"/>
  <c r="C7"/>
  <c r="T6"/>
  <c r="S6" s="1"/>
  <c r="R6"/>
  <c r="O6"/>
  <c r="P6" s="1"/>
  <c r="N6"/>
  <c r="E6"/>
  <c r="D6"/>
  <c r="D15" s="1"/>
  <c r="G14" s="1"/>
  <c r="T5"/>
  <c r="T15" s="1"/>
  <c r="R5"/>
  <c r="R15" s="1"/>
  <c r="C5"/>
  <c r="O7" s="1"/>
  <c r="P7" s="1"/>
  <c r="N3"/>
  <c r="B14" i="11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0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9" s="1"/>
  <c r="P9" s="1"/>
  <c r="J4"/>
  <c r="K4" s="1"/>
  <c r="B14" i="9"/>
  <c r="N6" s="1"/>
  <c r="C10"/>
  <c r="N9"/>
  <c r="C9"/>
  <c r="N8"/>
  <c r="C8"/>
  <c r="T7"/>
  <c r="R7"/>
  <c r="N7"/>
  <c r="C7"/>
  <c r="R6"/>
  <c r="O6"/>
  <c r="P6" s="1"/>
  <c r="E6"/>
  <c r="U6" s="1"/>
  <c r="D6"/>
  <c r="D14" s="1"/>
  <c r="G13" s="1"/>
  <c r="T5"/>
  <c r="R5"/>
  <c r="R17" s="1"/>
  <c r="C5"/>
  <c r="O9" s="1"/>
  <c r="P9" s="1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75" i="5"/>
  <c r="E73"/>
  <c r="E72"/>
  <c r="E71"/>
  <c r="E70"/>
  <c r="E69"/>
  <c r="E68"/>
  <c r="E67"/>
  <c r="E66"/>
  <c r="E65"/>
  <c r="E64"/>
  <c r="E63"/>
  <c r="E62"/>
  <c r="D62"/>
  <c r="D75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O23"/>
  <c r="N23"/>
  <c r="P23" s="1"/>
  <c r="O22"/>
  <c r="P22" s="1"/>
  <c r="N22"/>
  <c r="O21"/>
  <c r="N21"/>
  <c r="P21" s="1"/>
  <c r="O20"/>
  <c r="P20" s="1"/>
  <c r="P26" s="1"/>
  <c r="N20"/>
  <c r="O14"/>
  <c r="P14" s="1"/>
  <c r="N14"/>
  <c r="O13"/>
  <c r="N13"/>
  <c r="P13" s="1"/>
  <c r="O12"/>
  <c r="P12" s="1"/>
  <c r="N12"/>
  <c r="O11"/>
  <c r="N11"/>
  <c r="P11" s="1"/>
  <c r="B9"/>
  <c r="J4" s="1"/>
  <c r="K4" s="1"/>
  <c r="D7"/>
  <c r="O6"/>
  <c r="N6"/>
  <c r="P6" s="1"/>
  <c r="D6"/>
  <c r="D5"/>
  <c r="D9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144" s="1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C32"/>
  <c r="N49" s="1"/>
  <c r="O49" s="1"/>
  <c r="B30"/>
  <c r="D29"/>
  <c r="M28"/>
  <c r="D28"/>
  <c r="M27"/>
  <c r="D27"/>
  <c r="M26"/>
  <c r="D26"/>
  <c r="C26"/>
  <c r="N25"/>
  <c r="O25" s="1"/>
  <c r="M25"/>
  <c r="C25"/>
  <c r="N67" s="1"/>
  <c r="O67" s="1"/>
  <c r="T24"/>
  <c r="S24"/>
  <c r="N76" s="1"/>
  <c r="R24"/>
  <c r="M75" s="1"/>
  <c r="C24"/>
  <c r="T23"/>
  <c r="R23"/>
  <c r="C23"/>
  <c r="C22"/>
  <c r="N44" s="1"/>
  <c r="O44" s="1"/>
  <c r="R21"/>
  <c r="C21"/>
  <c r="M20"/>
  <c r="C20"/>
  <c r="N34" s="1"/>
  <c r="O34" s="1"/>
  <c r="T19"/>
  <c r="S19"/>
  <c r="N51" s="1"/>
  <c r="O51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T17"/>
  <c r="S17" s="1"/>
  <c r="R17"/>
  <c r="M17"/>
  <c r="C17"/>
  <c r="N20" s="1"/>
  <c r="O20" s="1"/>
  <c r="T16"/>
  <c r="S16"/>
  <c r="R16"/>
  <c r="D16"/>
  <c r="T14" s="1"/>
  <c r="S14" s="1"/>
  <c r="R15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N9"/>
  <c r="M9"/>
  <c r="O9" s="1"/>
  <c r="C9"/>
  <c r="S8"/>
  <c r="R8"/>
  <c r="C8"/>
  <c r="S7"/>
  <c r="R7"/>
  <c r="C7"/>
  <c r="T6"/>
  <c r="R6"/>
  <c r="E6"/>
  <c r="D6"/>
  <c r="T5"/>
  <c r="R5"/>
  <c r="D5"/>
  <c r="C40" i="1"/>
  <c r="B38"/>
  <c r="B39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B42" s="1"/>
  <c r="D22"/>
  <c r="R21"/>
  <c r="N21"/>
  <c r="D21"/>
  <c r="T20"/>
  <c r="S20"/>
  <c r="O29" s="1"/>
  <c r="R20"/>
  <c r="N29" s="1"/>
  <c r="N20"/>
  <c r="C20"/>
  <c r="T19"/>
  <c r="S19"/>
  <c r="O20" s="1"/>
  <c r="P20" s="1"/>
  <c r="R19"/>
  <c r="C19"/>
  <c r="D19" s="1"/>
  <c r="O18"/>
  <c r="N18"/>
  <c r="N19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"/>
  <c r="O6" l="1"/>
  <c r="P6" s="1"/>
  <c r="J12"/>
  <c r="J13" s="1"/>
  <c r="J4"/>
  <c r="R22"/>
  <c r="D39"/>
  <c r="T22" s="1"/>
  <c r="T18"/>
  <c r="S18" s="1"/>
  <c r="R18"/>
  <c r="N10"/>
  <c r="T10"/>
  <c r="S10" s="1"/>
  <c r="P29"/>
  <c r="O14" i="2"/>
  <c r="O37" i="1"/>
  <c r="P37" s="1"/>
  <c r="O36"/>
  <c r="O35"/>
  <c r="O34"/>
  <c r="N4" i="2"/>
  <c r="O17"/>
  <c r="O22" s="1"/>
  <c r="R32" i="1"/>
  <c r="P10"/>
  <c r="H37" i="5"/>
  <c r="H36"/>
  <c r="E7" i="11"/>
  <c r="K4"/>
  <c r="C8" i="16"/>
  <c r="D14"/>
  <c r="G13" s="1"/>
  <c r="T8"/>
  <c r="T5" i="1"/>
  <c r="O19"/>
  <c r="P19" s="1"/>
  <c r="O21"/>
  <c r="P21" s="1"/>
  <c r="O26"/>
  <c r="O27"/>
  <c r="O28"/>
  <c r="N34"/>
  <c r="N35"/>
  <c r="N36"/>
  <c r="D38"/>
  <c r="T21" s="1"/>
  <c r="T15" i="2"/>
  <c r="S15" s="1"/>
  <c r="N26"/>
  <c r="O26" s="1"/>
  <c r="O30" s="1"/>
  <c r="N27"/>
  <c r="O27" s="1"/>
  <c r="D30"/>
  <c r="T21" s="1"/>
  <c r="S21" s="1"/>
  <c r="B31"/>
  <c r="N35"/>
  <c r="O35" s="1"/>
  <c r="O38" s="1"/>
  <c r="N36"/>
  <c r="O36" s="1"/>
  <c r="N43"/>
  <c r="O43" s="1"/>
  <c r="N50"/>
  <c r="O50" s="1"/>
  <c r="O54" s="1"/>
  <c r="N52"/>
  <c r="O52" s="1"/>
  <c r="N66"/>
  <c r="O66" s="1"/>
  <c r="O70" s="1"/>
  <c r="N68"/>
  <c r="O68" s="1"/>
  <c r="N73"/>
  <c r="M74"/>
  <c r="N75"/>
  <c r="O75" s="1"/>
  <c r="M76"/>
  <c r="O76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I36" i="5"/>
  <c r="K36" s="1"/>
  <c r="I37"/>
  <c r="K37" s="1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O6" i="8"/>
  <c r="P6" s="1"/>
  <c r="O7"/>
  <c r="P7" s="1"/>
  <c r="G9" i="18"/>
  <c r="K4"/>
  <c r="G9" i="25"/>
  <c r="K4"/>
  <c r="P18" i="1"/>
  <c r="P23" s="1"/>
  <c r="N26"/>
  <c r="N27"/>
  <c r="N28"/>
  <c r="N42" i="2"/>
  <c r="O42" s="1"/>
  <c r="O46" s="1"/>
  <c r="M73"/>
  <c r="N74"/>
  <c r="O74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17" i="4"/>
  <c r="P35"/>
  <c r="K4" i="8"/>
  <c r="P9" i="12"/>
  <c r="N24" i="14"/>
  <c r="N22"/>
  <c r="N17"/>
  <c r="N16"/>
  <c r="O15"/>
  <c r="O14"/>
  <c r="O9" i="15"/>
  <c r="P9" s="1"/>
  <c r="O7"/>
  <c r="P7" s="1"/>
  <c r="N9" i="16"/>
  <c r="N8"/>
  <c r="N6"/>
  <c r="J4"/>
  <c r="K4" s="1"/>
  <c r="N9" i="19"/>
  <c r="N8"/>
  <c r="N6"/>
  <c r="D11" i="20"/>
  <c r="G10" s="1"/>
  <c r="T6"/>
  <c r="S5" i="24"/>
  <c r="N17" i="26"/>
  <c r="N16"/>
  <c r="N15"/>
  <c r="N14"/>
  <c r="O9" i="27"/>
  <c r="P9" s="1"/>
  <c r="O7"/>
  <c r="P7" s="1"/>
  <c r="C39" i="28"/>
  <c r="S25" s="1"/>
  <c r="T25"/>
  <c r="O9" i="32"/>
  <c r="P9" s="1"/>
  <c r="O7"/>
  <c r="L38" i="5"/>
  <c r="T6" i="8"/>
  <c r="T13" s="1"/>
  <c r="O7" i="10"/>
  <c r="U7"/>
  <c r="N8"/>
  <c r="U5" i="12"/>
  <c r="O17"/>
  <c r="P17" s="1"/>
  <c r="P21" s="1"/>
  <c r="O19"/>
  <c r="P19" s="1"/>
  <c r="T15" i="13"/>
  <c r="N14" i="14"/>
  <c r="O17"/>
  <c r="P17" s="1"/>
  <c r="N25"/>
  <c r="R37"/>
  <c r="O6" i="15"/>
  <c r="P6" s="1"/>
  <c r="O8"/>
  <c r="P8" s="1"/>
  <c r="U5" i="16"/>
  <c r="P8"/>
  <c r="P6" i="19"/>
  <c r="N9" i="20"/>
  <c r="P9" s="1"/>
  <c r="B37" i="23"/>
  <c r="J4" s="1"/>
  <c r="V8" i="26"/>
  <c r="P14"/>
  <c r="P15"/>
  <c r="P16"/>
  <c r="P17"/>
  <c r="O6" i="27"/>
  <c r="P6" s="1"/>
  <c r="P11" s="1"/>
  <c r="O8"/>
  <c r="P8" s="1"/>
  <c r="P14" i="28"/>
  <c r="O24"/>
  <c r="B43"/>
  <c r="J4" s="1"/>
  <c r="K4" s="1"/>
  <c r="O6" i="29"/>
  <c r="P6" s="1"/>
  <c r="O8"/>
  <c r="P8" s="1"/>
  <c r="S5" i="32"/>
  <c r="O8" i="14"/>
  <c r="P8" s="1"/>
  <c r="O6"/>
  <c r="P6" s="1"/>
  <c r="D15" i="21"/>
  <c r="G14" s="1"/>
  <c r="T6"/>
  <c r="S6" s="1"/>
  <c r="O8"/>
  <c r="P8" s="1"/>
  <c r="O6"/>
  <c r="B20" i="22"/>
  <c r="J4" s="1"/>
  <c r="C7"/>
  <c r="N17" i="24"/>
  <c r="N16"/>
  <c r="N14"/>
  <c r="P14" s="1"/>
  <c r="P20" s="1"/>
  <c r="B16"/>
  <c r="D15"/>
  <c r="T10" s="1"/>
  <c r="T9" i="26"/>
  <c r="V9" s="1"/>
  <c r="C9"/>
  <c r="N9"/>
  <c r="P9" s="1"/>
  <c r="N8"/>
  <c r="P8" s="1"/>
  <c r="N7"/>
  <c r="N6"/>
  <c r="P6" s="1"/>
  <c r="P11" s="1"/>
  <c r="P6" i="28"/>
  <c r="N3"/>
  <c r="E14"/>
  <c r="R10"/>
  <c r="N8"/>
  <c r="N7"/>
  <c r="C29"/>
  <c r="T20"/>
  <c r="V20" s="1"/>
  <c r="C38"/>
  <c r="O8" s="1"/>
  <c r="P8"/>
  <c r="D14" i="32"/>
  <c r="G13" s="1"/>
  <c r="C11"/>
  <c r="G8" i="4"/>
  <c r="O8" i="8"/>
  <c r="P8" s="1"/>
  <c r="J4" i="9"/>
  <c r="K4" s="1"/>
  <c r="S5"/>
  <c r="T6"/>
  <c r="T17" s="1"/>
  <c r="O7"/>
  <c r="P7" s="1"/>
  <c r="P12" s="1"/>
  <c r="O8"/>
  <c r="P8" s="1"/>
  <c r="U5" i="10"/>
  <c r="O6"/>
  <c r="P6" s="1"/>
  <c r="N7"/>
  <c r="O8"/>
  <c r="P8" s="1"/>
  <c r="O6" i="11"/>
  <c r="P6" s="1"/>
  <c r="P12" s="1"/>
  <c r="O3" i="12"/>
  <c r="P3" s="1"/>
  <c r="N8"/>
  <c r="P8" s="1"/>
  <c r="P11" s="1"/>
  <c r="O7" i="13"/>
  <c r="P7" s="1"/>
  <c r="P12" s="1"/>
  <c r="O8"/>
  <c r="P8" s="1"/>
  <c r="D17" i="14"/>
  <c r="K4" s="1"/>
  <c r="T5"/>
  <c r="T6"/>
  <c r="O9"/>
  <c r="P9" s="1"/>
  <c r="T9"/>
  <c r="N15"/>
  <c r="O16"/>
  <c r="P16" s="1"/>
  <c r="G17"/>
  <c r="N23"/>
  <c r="S6" i="16"/>
  <c r="N7"/>
  <c r="R8"/>
  <c r="R13" s="1"/>
  <c r="P9"/>
  <c r="P11" i="17"/>
  <c r="N7" i="19"/>
  <c r="P7" s="1"/>
  <c r="O8"/>
  <c r="P8" s="1"/>
  <c r="O9"/>
  <c r="P9" s="1"/>
  <c r="R22" i="20"/>
  <c r="N3"/>
  <c r="O8"/>
  <c r="S8"/>
  <c r="T9"/>
  <c r="S9" s="1"/>
  <c r="O9" i="21"/>
  <c r="P9" s="1"/>
  <c r="R37" i="23"/>
  <c r="S13"/>
  <c r="O6" i="24"/>
  <c r="O8"/>
  <c r="P16"/>
  <c r="P17"/>
  <c r="B18"/>
  <c r="J4" s="1"/>
  <c r="O7" i="26"/>
  <c r="P7" s="1"/>
  <c r="D19"/>
  <c r="G18" s="1"/>
  <c r="R5" i="28"/>
  <c r="S12"/>
  <c r="P16"/>
  <c r="S16"/>
  <c r="S22"/>
  <c r="O7" i="29"/>
  <c r="P7" s="1"/>
  <c r="K4" i="30"/>
  <c r="S5" i="31"/>
  <c r="T18"/>
  <c r="T5" i="32"/>
  <c r="T33" s="1"/>
  <c r="W33" s="1"/>
  <c r="O6"/>
  <c r="N8"/>
  <c r="O8"/>
  <c r="S8"/>
  <c r="O6" i="34"/>
  <c r="P6" s="1"/>
  <c r="O8"/>
  <c r="P8" s="1"/>
  <c r="T8" i="14"/>
  <c r="O6" i="18"/>
  <c r="P6" s="1"/>
  <c r="P11" s="1"/>
  <c r="O8"/>
  <c r="P8" s="1"/>
  <c r="N7" i="21"/>
  <c r="P7" s="1"/>
  <c r="T6" i="24"/>
  <c r="O6" i="25"/>
  <c r="P6" s="1"/>
  <c r="P11" s="1"/>
  <c r="O8"/>
  <c r="P8" s="1"/>
  <c r="O6" i="30"/>
  <c r="P6" s="1"/>
  <c r="P11" s="1"/>
  <c r="O8"/>
  <c r="P8" s="1"/>
  <c r="O7" i="31"/>
  <c r="O3" s="1"/>
  <c r="O6" i="33"/>
  <c r="P6" s="1"/>
  <c r="O8"/>
  <c r="P8" s="1"/>
  <c r="R43" i="28" l="1"/>
  <c r="T5"/>
  <c r="T43" s="1"/>
  <c r="W43" s="1"/>
  <c r="P8" i="20"/>
  <c r="P11" s="1"/>
  <c r="O3"/>
  <c r="P3" s="1"/>
  <c r="O7" i="16"/>
  <c r="P7" s="1"/>
  <c r="O6"/>
  <c r="P6" s="1"/>
  <c r="P12" s="1"/>
  <c r="T37" i="14"/>
  <c r="S5"/>
  <c r="T22" i="20"/>
  <c r="S6"/>
  <c r="S8" i="16"/>
  <c r="T13"/>
  <c r="H41" i="5"/>
  <c r="I41" s="1"/>
  <c r="K41" s="1"/>
  <c r="H38"/>
  <c r="M4" i="2"/>
  <c r="O4" s="1"/>
  <c r="P19" i="28"/>
  <c r="P19" i="26"/>
  <c r="T22"/>
  <c r="T21" i="21"/>
  <c r="P11" i="15"/>
  <c r="P15" i="14"/>
  <c r="G43" i="28"/>
  <c r="K4" i="20"/>
  <c r="P28" i="1"/>
  <c r="P26"/>
  <c r="P35"/>
  <c r="N11"/>
  <c r="N3" i="31"/>
  <c r="P3" s="1"/>
  <c r="P7"/>
  <c r="P11" s="1"/>
  <c r="P6" i="32"/>
  <c r="P13" s="1"/>
  <c r="N3"/>
  <c r="O3"/>
  <c r="P3" s="1"/>
  <c r="R9" i="24"/>
  <c r="D16"/>
  <c r="N3" i="21"/>
  <c r="O3"/>
  <c r="P3" s="1"/>
  <c r="P6"/>
  <c r="P11" s="1"/>
  <c r="P24" i="28"/>
  <c r="P28" s="1"/>
  <c r="O3"/>
  <c r="P3" s="1"/>
  <c r="M38" i="5"/>
  <c r="L39"/>
  <c r="M57" i="2"/>
  <c r="O57" s="1"/>
  <c r="D31"/>
  <c r="D37" s="1"/>
  <c r="G36" s="1"/>
  <c r="T22"/>
  <c r="T36" s="1"/>
  <c r="T20"/>
  <c r="R20"/>
  <c r="R22"/>
  <c r="O13" i="1"/>
  <c r="P13" s="1"/>
  <c r="O12"/>
  <c r="P12" s="1"/>
  <c r="O11"/>
  <c r="P11" s="1"/>
  <c r="P15" s="1"/>
  <c r="P11" i="33"/>
  <c r="P11" i="34"/>
  <c r="P8" i="32"/>
  <c r="P11" i="10"/>
  <c r="P11" i="28"/>
  <c r="P11" i="14"/>
  <c r="P11" i="29"/>
  <c r="K4" i="26"/>
  <c r="K4" i="21"/>
  <c r="P11" i="19"/>
  <c r="P7" i="10"/>
  <c r="P14" i="14"/>
  <c r="P19" s="1"/>
  <c r="K4" i="32"/>
  <c r="P11" i="8"/>
  <c r="G37" i="23"/>
  <c r="O73" i="2"/>
  <c r="O78" s="1"/>
  <c r="P27" i="1"/>
  <c r="T32"/>
  <c r="P34"/>
  <c r="P39" s="1"/>
  <c r="P36"/>
  <c r="B37" i="2"/>
  <c r="D42" i="1"/>
  <c r="N3"/>
  <c r="P3" s="1"/>
  <c r="G41" l="1"/>
  <c r="G7"/>
  <c r="M39" i="5"/>
  <c r="K14" s="1"/>
  <c r="L41"/>
  <c r="M41" s="1"/>
  <c r="N8" i="24"/>
  <c r="P8" s="1"/>
  <c r="N6"/>
  <c r="P6" s="1"/>
  <c r="N9"/>
  <c r="P9" s="1"/>
  <c r="N7"/>
  <c r="P7" s="1"/>
  <c r="R17"/>
  <c r="H39" i="5"/>
  <c r="I39" s="1"/>
  <c r="K39" s="1"/>
  <c r="I38"/>
  <c r="K38" s="1"/>
  <c r="J13" s="1"/>
  <c r="O25" i="14"/>
  <c r="P25" s="1"/>
  <c r="O23"/>
  <c r="P23" s="1"/>
  <c r="O24"/>
  <c r="P24" s="1"/>
  <c r="O22"/>
  <c r="P22" s="1"/>
  <c r="P27" s="1"/>
  <c r="K4" i="1"/>
  <c r="S20" i="2"/>
  <c r="J7"/>
  <c r="J8" s="1"/>
  <c r="J4"/>
  <c r="K4" s="1"/>
  <c r="M58"/>
  <c r="R36"/>
  <c r="T9" i="24"/>
  <c r="T17" s="1"/>
  <c r="D18"/>
  <c r="P31" i="1"/>
  <c r="O46" i="5" l="1"/>
  <c r="P46" s="1"/>
  <c r="J15"/>
  <c r="M46"/>
  <c r="G17" i="24"/>
  <c r="K4"/>
  <c r="N60" i="2"/>
  <c r="O60" s="1"/>
  <c r="N58"/>
  <c r="O58" s="1"/>
  <c r="O62" s="1"/>
  <c r="N59"/>
  <c r="O59" s="1"/>
  <c r="P11" i="24"/>
  <c r="J16" i="5" l="1"/>
</calcChain>
</file>

<file path=xl/sharedStrings.xml><?xml version="1.0" encoding="utf-8"?>
<sst xmlns="http://schemas.openxmlformats.org/spreadsheetml/2006/main" count="724" uniqueCount="93">
  <si>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</si>
  <si>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</si>
  <si>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</si>
  <si>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</si>
  <si>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</si>
  <si>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</si>
  <si>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</si>
  <si>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</si>
  <si>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</si>
  <si>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</si>
  <si>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</si>
  <si>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</si>
  <si>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</si>
  <si>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</si>
  <si>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</si>
  <si>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</si>
  <si>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</si>
  <si>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</si>
  <si>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</si>
  <si>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</si>
  <si>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</si>
  <si>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</si>
  <si>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</si>
  <si>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</si>
  <si>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</si>
  <si>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</si>
  <si>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</si>
  <si>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</si>
  <si>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</si>
  <si>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</si>
  <si>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</si>
  <si>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</si>
  <si>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</si>
  <si>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</si>
  <si>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</si>
  <si>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</si>
  <si>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</si>
  <si>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</si>
  <si>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</si>
  <si>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</si>
  <si>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</si>
  <si>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</si>
  <si>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</si>
  <si>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</si>
  <si>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</si>
  <si>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</si>
  <si>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</si>
  <si>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</si>
  <si>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</si>
  <si>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</si>
  <si>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</si>
  <si>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</si>
  <si>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</si>
  <si>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</si>
  <si>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</si>
  <si>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</si>
  <si>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</si>
  <si>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</si>
  <si>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</si>
  <si>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</si>
  <si>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</si>
  <si>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</si>
  <si>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</si>
  <si>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</si>
  <si>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</si>
  <si>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</si>
  <si>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</si>
  <si>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</si>
  <si>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</si>
  <si>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</si>
  <si>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</si>
  <si>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</si>
  <si>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</si>
  <si>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</si>
  <si>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</si>
  <si>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</si>
  <si>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</si>
  <si>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</si>
  <si>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</si>
  <si>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</si>
  <si>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</si>
  <si>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</si>
  <si>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</si>
  <si>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</si>
  <si>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</si>
  <si>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</si>
  <si>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</si>
  <si>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</si>
  <si>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</si>
  <si>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</si>
  <si>
    <t>DCA2 2/5</t>
  </si>
  <si>
    <t>DCA1&amp;2 3/5</t>
  </si>
  <si>
    <t>Ph 4/5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</si>
</sst>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3381376"/>
        <c:axId val="73383296"/>
      </c:lineChart>
      <c:dateAx>
        <c:axId val="73381376"/>
        <c:scaling>
          <c:orientation val="minMax"/>
        </c:scaling>
        <c:axPos val="b"/>
        <c:numFmt formatCode="dd/mm/yy;@" sourceLinked="1"/>
        <c:majorTickMark val="none"/>
        <c:tickLblPos val="nextTo"/>
        <c:crossAx val="73383296"/>
        <c:crosses val="autoZero"/>
        <c:lblOffset val="100"/>
      </c:dateAx>
      <c:valAx>
        <c:axId val="7338329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33813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F41" sqref="F41:G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2103.2036957233172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1121.9525392410164</v>
      </c>
      <c r="K4" s="4">
        <f>(J4/D42-1)</f>
        <v>-0.22849504331727521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2726.105227847866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6.1968099999999996E-3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3.8390036000000002E-2</v>
      </c>
      <c r="O11" s="39">
        <f>($S$18*Params!K16)</f>
        <v>3297.3195331494967</v>
      </c>
      <c r="P11" s="23">
        <f>(O11*N11)</f>
        <v>126.58421558111237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6.1968099999999996E-3</v>
      </c>
      <c r="C12" s="40">
        <v>0</v>
      </c>
      <c r="D12" s="26">
        <f t="shared" si="0"/>
        <v>0</v>
      </c>
      <c r="E12" s="38">
        <f>(B12*J3)</f>
        <v>13.033153693695208</v>
      </c>
      <c r="I12" t="s">
        <v>13</v>
      </c>
      <c r="J12">
        <f>(J11-B42)</f>
        <v>6.6550700000000074E-2</v>
      </c>
      <c r="N12">
        <f>($B$35/5)</f>
        <v>2.1517517999999999E-2</v>
      </c>
      <c r="O12" s="39">
        <f>($S$18*Params!K17)</f>
        <v>6594.6390662989934</v>
      </c>
      <c r="P12" s="23">
        <f>(O12*N12)</f>
        <v>141.90026481259179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139.96967819297393</v>
      </c>
      <c r="N13">
        <f>($B$35/5)</f>
        <v>2.1517517999999999E-2</v>
      </c>
      <c r="O13" s="39">
        <f>($S$18*Params!K18)</f>
        <v>13189.278132597987</v>
      </c>
      <c r="P13" s="23">
        <f>(O13*N13)</f>
        <v>283.80052962518357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559.74023501888769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0.10294259</v>
      </c>
      <c r="S18" s="39">
        <f>(T18/R18)</f>
        <v>1648.6597665747483</v>
      </c>
      <c r="T18" s="23">
        <f>(D35+1283.68*B39)</f>
        <v>169.71730640000001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8.1339679999999984E-3</v>
      </c>
      <c r="O19" s="39">
        <f>($S$19*Params!K16)</f>
        <v>3384.8275463926011</v>
      </c>
      <c r="P19" s="23">
        <f>(O19*N19)</f>
        <v>27.532078947875927</v>
      </c>
      <c r="R19" s="24">
        <f>(B36+B38)</f>
        <v>2.1392419999999999E-2</v>
      </c>
      <c r="S19" s="39">
        <f>(T19/R19)</f>
        <v>1692.4137731963006</v>
      </c>
      <c r="T19" s="23">
        <f>(D36+1269.75*B38)</f>
        <v>36.204826250000004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4.4194839999999996E-3</v>
      </c>
      <c r="O20" s="39">
        <f>($S$19*Params!K17)</f>
        <v>6769.6550927852022</v>
      </c>
      <c r="P20" s="23">
        <f>(O20*N20)</f>
        <v>29.918382368082714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4.4194839999999996E-3</v>
      </c>
      <c r="O21" s="39">
        <f>($S$19*Params!K18)</f>
        <v>13539.310185570404</v>
      </c>
      <c r="P21" s="23">
        <f>(O21*N21)</f>
        <v>59.836764736165428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118.41875105212407</v>
      </c>
      <c r="R23" s="24">
        <f>(B40)</f>
        <v>5.015091E-2</v>
      </c>
      <c r="S23" s="39">
        <f>(T23/R23)</f>
        <v>1819.5083598682456</v>
      </c>
      <c r="T23" s="23">
        <f>(D40)</f>
        <v>91.25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0.53344930000000002</v>
      </c>
      <c r="T32" s="23">
        <f>(SUM(T5:T31))</f>
        <v>1454.2389255217843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1.0030182E-2</v>
      </c>
      <c r="O34" s="39">
        <f>($S$23*Params!K15)</f>
        <v>2729.2625398023683</v>
      </c>
      <c r="P34" s="23">
        <f>(O34*N34)</f>
        <v>27.375</v>
      </c>
    </row>
    <row r="35" spans="2:16">
      <c r="B35" s="24">
        <v>0.10758759</v>
      </c>
      <c r="C35" s="39">
        <f>(D35/B35)</f>
        <v>1632.9020847106995</v>
      </c>
      <c r="D35" s="23">
        <v>175.68</v>
      </c>
      <c r="E35" t="s">
        <v>10</v>
      </c>
      <c r="N35">
        <f>($R$23/5)</f>
        <v>1.0030182E-2</v>
      </c>
      <c r="O35" s="39">
        <f>($S$23*Params!K16)</f>
        <v>3639.0167197364913</v>
      </c>
      <c r="P35" s="23">
        <f>(O35*N35)</f>
        <v>36.5</v>
      </c>
    </row>
    <row r="36" spans="2:16">
      <c r="B36" s="24">
        <v>2.209742E-2</v>
      </c>
      <c r="C36" s="39">
        <f>(D36/B36)</f>
        <v>1678.9290333441643</v>
      </c>
      <c r="D36" s="23">
        <v>37.1</v>
      </c>
      <c r="E36" t="s">
        <v>15</v>
      </c>
      <c r="N36">
        <f>($R$23/5)</f>
        <v>1.0030182E-2</v>
      </c>
      <c r="O36" s="39">
        <f>($S$23*Params!K17)</f>
        <v>7278.0334394729825</v>
      </c>
      <c r="P36" s="23">
        <f>(O36*N36)</f>
        <v>73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1.0030182E-2</v>
      </c>
      <c r="O37" s="39">
        <f>($S$23*Params!K18)</f>
        <v>14556.066878945965</v>
      </c>
      <c r="P37" s="23">
        <f>(O37*N37)</f>
        <v>146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282.875</v>
      </c>
    </row>
    <row r="40" spans="2:16">
      <c r="B40" s="24">
        <v>5.015091E-2</v>
      </c>
      <c r="C40" s="39">
        <f>(D40/B40)</f>
        <v>1819.5083598682456</v>
      </c>
      <c r="D40" s="23">
        <v>91.25</v>
      </c>
      <c r="E40" t="s">
        <v>18</v>
      </c>
    </row>
    <row r="41" spans="2:16">
      <c r="F41" t="s">
        <v>9</v>
      </c>
      <c r="G41" s="39">
        <f>D42/B42</f>
        <v>2726.105227847866</v>
      </c>
    </row>
    <row r="42" spans="2:16">
      <c r="B42">
        <f>(SUM(B5:B41))</f>
        <v>0.5334492999999999</v>
      </c>
      <c r="D42" s="23">
        <f>(SUM(D5:D41))</f>
        <v>1454.2389255217843</v>
      </c>
    </row>
  </sheetData>
  <conditionalFormatting sqref="C5:C7 C11 C18:C25 C27 C29 C31 C33 C35:C37 C40 N6 O11:O13 O19:O21 O26:O29 O34:O37 S5:S7 S10:S15 S18:S20 S23">
    <cfRule type="cellIs" dxfId="259" priority="37" operator="lessThan">
      <formula>$J$3</formula>
    </cfRule>
    <cfRule type="cellIs" dxfId="258" priority="38" operator="greaterThan">
      <formula>$J$3</formula>
    </cfRule>
  </conditionalFormatting>
  <conditionalFormatting sqref="G41">
    <cfRule type="cellIs" dxfId="257" priority="21" operator="lessThan">
      <formula>$J$3</formula>
    </cfRule>
    <cfRule type="cellIs" dxfId="256" priority="22" operator="greaterThan">
      <formula>$J$3</formula>
    </cfRule>
  </conditionalFormatting>
  <conditionalFormatting sqref="O3">
    <cfRule type="cellIs" dxfId="255" priority="9" operator="greaterThan">
      <formula>$J$3</formula>
    </cfRule>
    <cfRule type="cellIs" dxfId="254" priority="10" operator="less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1.441840529215636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17.590814599358151</v>
      </c>
      <c r="K4" s="4">
        <f>(J4/D14-1)</f>
        <v>-0.52341871598528567</v>
      </c>
      <c r="R4" t="s">
        <v>5</v>
      </c>
      <c r="S4" t="s">
        <v>6</v>
      </c>
      <c r="T4" t="s">
        <v>7</v>
      </c>
    </row>
    <row r="5" spans="2:21">
      <c r="B5" s="29">
        <v>11.56542788</v>
      </c>
      <c r="C5" s="38">
        <f>(D5/B5)</f>
        <v>3.2078363537380858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0.56888015999999997</v>
      </c>
      <c r="S5" s="40">
        <v>0</v>
      </c>
      <c r="T5" s="26">
        <f>(D6)</f>
        <v>0</v>
      </c>
      <c r="U5" s="38">
        <f>(R5*J3)</f>
        <v>0.82023447095467561</v>
      </c>
    </row>
    <row r="6" spans="2:21">
      <c r="B6" s="36">
        <v>0.56888015999999997</v>
      </c>
      <c r="C6" s="40">
        <v>0</v>
      </c>
      <c r="D6" s="26">
        <f>(B6*C6)</f>
        <v>0</v>
      </c>
      <c r="E6" s="38">
        <f>(B6*J3)</f>
        <v>0.82023447095467561</v>
      </c>
      <c r="M6" t="s">
        <v>11</v>
      </c>
      <c r="N6" s="29">
        <f>(SUM(R5:R7)/5)</f>
        <v>2.4400499560000002</v>
      </c>
      <c r="O6" s="38">
        <f>($C$5*Params!K8)</f>
        <v>4.170187259859512</v>
      </c>
      <c r="P6" s="38">
        <f>(O6*N6)</f>
        <v>10.175465239931963</v>
      </c>
      <c r="R6" s="29">
        <f>(B5)</f>
        <v>11.56542788</v>
      </c>
      <c r="S6" s="38">
        <f>(T6/R6)</f>
        <v>3.2078363537380858</v>
      </c>
      <c r="T6" s="38">
        <f>(D5)</f>
        <v>37.1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2.4400499560000002</v>
      </c>
      <c r="O7" s="38">
        <f>($C$5*Params!K9)</f>
        <v>5.1325381659809377</v>
      </c>
      <c r="P7" s="38">
        <f>(O7*N7)</f>
        <v>12.523649526070109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0.28465906329899981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2.4400499560000002</v>
      </c>
      <c r="O8" s="38">
        <f>($C$5*Params!K10)</f>
        <v>7.0572399782237891</v>
      </c>
      <c r="P8" s="38">
        <f>(O8*N8)</f>
        <v>17.220018098346397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2.4400499560000002</v>
      </c>
      <c r="O9" s="38">
        <f>($C$5*Params!K11)</f>
        <v>12.831345414952343</v>
      </c>
      <c r="P9" s="38">
        <f>(O9*N9)</f>
        <v>31.309123815175269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71.228256679523739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3.0253821909865848</v>
      </c>
    </row>
    <row r="14" spans="2:21">
      <c r="B14" s="29">
        <f>(SUM(B5:B13))</f>
        <v>12.200249780000002</v>
      </c>
      <c r="D14" s="38">
        <f>(SUM(D5:D13))</f>
        <v>36.910418410000005</v>
      </c>
      <c r="R14" s="29">
        <f>(SUM(R5:R13))</f>
        <v>12.20024978</v>
      </c>
      <c r="T14" s="38">
        <f>(SUM(T5:T13))</f>
        <v>36.910418409999998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8.9408850543741281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10.924180072696767</v>
      </c>
      <c r="K4" s="4">
        <f>(J4/D14-1)</f>
        <v>-5.3247276333323601E-4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0.78622629400339716</v>
      </c>
      <c r="M6" t="s">
        <v>11</v>
      </c>
      <c r="N6" s="1">
        <f>(SUM($B$5:$B$7)/5)</f>
        <v>0.244364624</v>
      </c>
      <c r="O6" s="38">
        <f>($C$5*Params!K8)</f>
        <v>12.800900900900901</v>
      </c>
      <c r="P6" s="38">
        <f>(O6*N6)</f>
        <v>3.1280873355099099</v>
      </c>
    </row>
    <row r="7" spans="2:16">
      <c r="B7" s="36">
        <v>2.388705E-2</v>
      </c>
      <c r="C7" s="40">
        <v>0</v>
      </c>
      <c r="D7" s="26">
        <f>(C7*B7)</f>
        <v>0</v>
      </c>
      <c r="E7" s="38">
        <f>(B7*J4)</f>
        <v>0.26094643560551134</v>
      </c>
      <c r="N7" s="1">
        <f>(SUM($B$5:$B$7)/5)</f>
        <v>0.244364624</v>
      </c>
      <c r="O7" s="38">
        <f>($C$5*Params!K9)</f>
        <v>15.754954954954954</v>
      </c>
      <c r="P7" s="38">
        <f>(O7*N7)</f>
        <v>3.8499536437045041</v>
      </c>
    </row>
    <row r="8" spans="2:16">
      <c r="N8" s="1">
        <f>(SUM($B$5:$B$7)/5)</f>
        <v>0.244364624</v>
      </c>
      <c r="O8" s="38">
        <f>($C$5*Params!K10)</f>
        <v>21.663063063063063</v>
      </c>
      <c r="P8" s="38">
        <f>(O8*N8)</f>
        <v>5.2936862600936943</v>
      </c>
    </row>
    <row r="9" spans="2:16">
      <c r="N9" s="1">
        <f>(SUM($B$5:$B$7)/5)</f>
        <v>0.244364624</v>
      </c>
      <c r="O9" s="38">
        <f>($C$5*Params!K11)</f>
        <v>39.387387387387385</v>
      </c>
      <c r="P9" s="38">
        <f>(O9*N9)</f>
        <v>9.6248841092612611</v>
      </c>
    </row>
    <row r="12" spans="2:16">
      <c r="P12" s="38">
        <f>(SUM(P6:P9))</f>
        <v>21.896611348569373</v>
      </c>
    </row>
    <row r="13" spans="2:16">
      <c r="F13" t="s">
        <v>9</v>
      </c>
      <c r="G13" s="38">
        <f>(D14/B14)</f>
        <v>8.9456483684807004</v>
      </c>
    </row>
    <row r="14" spans="2:16">
      <c r="B14" s="19">
        <f>(SUM(B5:B13))</f>
        <v>1.22182312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V21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38">
        <v>21.03837378360371</v>
      </c>
      <c r="M3" t="s">
        <v>4</v>
      </c>
      <c r="N3" s="24">
        <f>(INDEX(N5:N19,MATCH(MAX(O16,O6),O5:O19,0))/0.9)</f>
        <v>0.55192021111111123</v>
      </c>
      <c r="O3" s="39">
        <f>(MAX(O16,O6)*0.85)</f>
        <v>16.723683895070991</v>
      </c>
      <c r="P3" s="35">
        <f>(O3*N3)</f>
        <v>9.2301391459230722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(B15*J3)</f>
        <v>53.693586365120254</v>
      </c>
      <c r="K4" s="4">
        <f>(J4/D15-1)</f>
        <v>0.61038506166397544</v>
      </c>
      <c r="R4" t="s">
        <v>5</v>
      </c>
      <c r="S4" t="s">
        <v>6</v>
      </c>
      <c r="T4" t="s">
        <v>7</v>
      </c>
    </row>
    <row r="5" spans="2:22">
      <c r="B5" s="24">
        <v>2.4513438700000001</v>
      </c>
      <c r="C5" s="38">
        <f>(D5/B5)</f>
        <v>15.134555561150218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1.5170589999999999E-2</v>
      </c>
      <c r="S5" s="40">
        <v>0</v>
      </c>
      <c r="T5" s="26">
        <f>(D6)</f>
        <v>0</v>
      </c>
      <c r="U5" s="38">
        <f>(R5*J3)</f>
        <v>0.31916454293780061</v>
      </c>
    </row>
    <row r="6" spans="2:22">
      <c r="B6" s="25">
        <v>1.5170589999999999E-2</v>
      </c>
      <c r="C6" s="40">
        <v>0</v>
      </c>
      <c r="D6" s="26">
        <f>(B6*C6)</f>
        <v>0</v>
      </c>
      <c r="E6" s="38">
        <f>(B6*J3)</f>
        <v>0.31916454293780061</v>
      </c>
      <c r="M6" t="s">
        <v>11</v>
      </c>
      <c r="N6" s="24">
        <f>($B$5+$R$7)/5</f>
        <v>0.49672819000000007</v>
      </c>
      <c r="O6" s="38">
        <f>($C$5*Params!K8)</f>
        <v>19.674922229495284</v>
      </c>
      <c r="P6" s="38">
        <f>(O6*N6)</f>
        <v>9.7730885074479588</v>
      </c>
      <c r="Q6" t="s">
        <v>12</v>
      </c>
      <c r="R6" s="24">
        <f>B5</f>
        <v>2.4513438700000001</v>
      </c>
      <c r="S6" s="38">
        <f>(T6/R6)</f>
        <v>15.134555561150218</v>
      </c>
      <c r="T6" s="38">
        <f>D5</f>
        <v>37.1</v>
      </c>
      <c r="U6" t="s">
        <v>15</v>
      </c>
    </row>
    <row r="7" spans="2:22">
      <c r="B7" s="24">
        <v>-7.17E-2</v>
      </c>
      <c r="C7" s="38">
        <f t="shared" ref="C7:C13" si="0">(D7/B7)</f>
        <v>15.79</v>
      </c>
      <c r="D7" s="38">
        <v>-1.1321429999999999</v>
      </c>
      <c r="N7" s="24">
        <f>($B$5+$R$7)/5</f>
        <v>0.49672819000000007</v>
      </c>
      <c r="O7" s="38">
        <f>($C$5*Params!K9)</f>
        <v>24.215288897840352</v>
      </c>
      <c r="P7" s="38">
        <f>(O7*N7)</f>
        <v>12.028416624551335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0.8831329311589512</v>
      </c>
    </row>
    <row r="8" spans="2:22">
      <c r="B8">
        <v>-0.114356</v>
      </c>
      <c r="C8" s="38">
        <f t="shared" si="0"/>
        <v>20.563082741613908</v>
      </c>
      <c r="D8" s="38">
        <v>-2.3515118899999998</v>
      </c>
      <c r="N8" s="24">
        <f>($B$5+$R$7)/5</f>
        <v>0.49672819000000007</v>
      </c>
      <c r="O8" s="38">
        <f>($C$5*Params!K10)</f>
        <v>33.296022234530483</v>
      </c>
      <c r="P8" s="38">
        <f>(O8*N8)</f>
        <v>16.539072858758086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 t="shared" si="0"/>
        <v>17.442038612902241</v>
      </c>
      <c r="D9" s="38">
        <v>2.2200000000000002</v>
      </c>
      <c r="N9" s="24">
        <f>($B$5+$R$7)/5</f>
        <v>0.49672819000000007</v>
      </c>
      <c r="O9" s="38">
        <f>($C$5*Params!K11)</f>
        <v>60.538222244600874</v>
      </c>
      <c r="P9" s="38">
        <f>(O9*N9)</f>
        <v>30.071041561378333</v>
      </c>
    </row>
    <row r="10" spans="2:22">
      <c r="B10" s="24">
        <v>0.68756225999999998</v>
      </c>
      <c r="C10" s="38">
        <f t="shared" si="0"/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 t="shared" si="0"/>
        <v>11.638838496622212</v>
      </c>
      <c r="D11" s="38">
        <v>1.06</v>
      </c>
      <c r="P11" s="38">
        <f>(SUM(P6:P9))</f>
        <v>68.411619552135718</v>
      </c>
    </row>
    <row r="12" spans="2:22">
      <c r="B12" s="24">
        <v>-0.13750000000000001</v>
      </c>
      <c r="C12" s="38">
        <f t="shared" si="0"/>
        <v>18.539550399999996</v>
      </c>
      <c r="D12" s="38">
        <v>-2.5491881799999998</v>
      </c>
      <c r="P12" s="38"/>
    </row>
    <row r="13" spans="2:22">
      <c r="B13" s="24">
        <v>-0.49669999999999997</v>
      </c>
      <c r="C13" s="38">
        <f t="shared" si="0"/>
        <v>21.834261465673446</v>
      </c>
      <c r="D13" s="38">
        <v>-10.84507767</v>
      </c>
      <c r="P13" s="38"/>
    </row>
    <row r="14" spans="2:22">
      <c r="F14" t="s">
        <v>9</v>
      </c>
      <c r="G14" s="38">
        <f>(D15/B15)</f>
        <v>13.064188363660813</v>
      </c>
    </row>
    <row r="15" spans="2:22">
      <c r="B15" s="24">
        <f>(SUM(B5:B14))</f>
        <v>2.5521737999999998</v>
      </c>
      <c r="D15" s="38">
        <f>(SUM(D5:D14))</f>
        <v>33.342079259999998</v>
      </c>
      <c r="M15" t="s">
        <v>81</v>
      </c>
      <c r="N15" t="s">
        <v>29</v>
      </c>
      <c r="O15" t="s">
        <v>1</v>
      </c>
      <c r="P15" t="s">
        <v>2</v>
      </c>
      <c r="R15" s="24">
        <f>(SUM(R5:R14))</f>
        <v>3.1863738000000001</v>
      </c>
      <c r="T15" s="38">
        <f>(SUM(T5:T14))</f>
        <v>46.736345110000002</v>
      </c>
    </row>
    <row r="16" spans="2:22">
      <c r="M16" t="s">
        <v>11</v>
      </c>
      <c r="N16" s="24">
        <f>-B12</f>
        <v>0.13750000000000001</v>
      </c>
      <c r="O16" s="38">
        <f>18.6</f>
        <v>18.600000000000001</v>
      </c>
      <c r="P16" s="38">
        <f>-D12</f>
        <v>2.5491881799999998</v>
      </c>
      <c r="Q16" t="s">
        <v>12</v>
      </c>
    </row>
    <row r="17" spans="14:16">
      <c r="N17" s="24">
        <f>($B$10)/5</f>
        <v>0.13751245200000001</v>
      </c>
      <c r="O17" s="38">
        <f>($C$10*Params!K9)</f>
        <v>22.898289967224205</v>
      </c>
      <c r="P17" s="38">
        <f>(O17*N17)</f>
        <v>3.1488</v>
      </c>
    </row>
    <row r="18" spans="14:16">
      <c r="N18" s="24">
        <f>($B$10)/5</f>
        <v>0.13751245200000001</v>
      </c>
      <c r="O18" s="38">
        <f>($C$10*Params!K10)</f>
        <v>31.485148704933284</v>
      </c>
      <c r="P18" s="38">
        <f>(O18*N18)</f>
        <v>4.329600000000001</v>
      </c>
    </row>
    <row r="19" spans="14:16">
      <c r="N19" s="24">
        <f>($B$10)/5</f>
        <v>0.13751245200000001</v>
      </c>
      <c r="O19" s="38">
        <f>($C$10*Params!K11)</f>
        <v>57.24572491806051</v>
      </c>
      <c r="P19" s="38">
        <f>(O19*N19)</f>
        <v>7.8719999999999999</v>
      </c>
    </row>
    <row r="21" spans="14:16">
      <c r="P21" s="38">
        <f>(SUM(P16:P19))</f>
        <v>17.899588180000002</v>
      </c>
    </row>
  </sheetData>
  <conditionalFormatting sqref="C5 C9:C11 G14 O7:O9 O17:O19 S6">
    <cfRule type="cellIs" dxfId="177" priority="19" operator="lessThan">
      <formula>$J$3</formula>
    </cfRule>
    <cfRule type="cellIs" dxfId="176" priority="20" operator="greaterThan">
      <formula>$J$3</formula>
    </cfRule>
  </conditionalFormatting>
  <conditionalFormatting sqref="S8"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3">
    <cfRule type="cellIs" dxfId="173" priority="1" operator="greaterThan">
      <formula>$J$3</formula>
    </cfRule>
    <cfRule type="cellIs" dxfId="17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2.454317220936756E-3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2.3445754665653107</v>
      </c>
      <c r="K4" s="4">
        <f>(J4/D13-1)</f>
        <v>-0.172160245633878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C9:C11">
    <cfRule type="cellIs" dxfId="169" priority="15" operator="lessThan">
      <formula>$J$3</formula>
    </cfRule>
    <cfRule type="cellIs" dxfId="168" priority="16" operator="greaterThan">
      <formula>$J$3</formula>
    </cfRule>
    <cfRule type="cellIs" dxfId="167" priority="13" operator="lessThan">
      <formula>$J$3</formula>
    </cfRule>
    <cfRule type="cellIs" dxfId="166" priority="14" operator="greaterThan">
      <formula>$J$3</formula>
    </cfRule>
  </conditionalFormatting>
  <conditionalFormatting sqref="O6:O9">
    <cfRule type="cellIs" dxfId="165" priority="11" operator="lessThan">
      <formula>$J$3</formula>
    </cfRule>
    <cfRule type="cellIs" dxfId="164" priority="12" operator="greaterThan">
      <formula>$J$3</formula>
    </cfRule>
    <cfRule type="cellIs" dxfId="163" priority="9" operator="lessThan">
      <formula>$J$3</formula>
    </cfRule>
    <cfRule type="cellIs" dxfId="162" priority="10" operator="greaterThan">
      <formula>$J$3</formula>
    </cfRule>
  </conditionalFormatting>
  <conditionalFormatting sqref="S5">
    <cfRule type="cellIs" dxfId="161" priority="7" operator="lessThan">
      <formula>$J$3</formula>
    </cfRule>
    <cfRule type="cellIs" dxfId="160" priority="8" operator="greaterThan">
      <formula>$J$3</formula>
    </cfRule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G12">
    <cfRule type="cellIs" dxfId="157" priority="3" operator="lessThan">
      <formula>$J$3</formula>
    </cfRule>
    <cfRule type="cellIs" dxfId="156" priority="4" operator="greaterThan">
      <formula>$J$3</formula>
    </cfRule>
    <cfRule type="cellIs" dxfId="155" priority="1" operator="lessThan">
      <formula>$J$3</formula>
    </cfRule>
    <cfRule type="cellIs" dxfId="154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26" sqref="I26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234.81094312728831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160.83340797484033</v>
      </c>
      <c r="K4" s="4">
        <f>(J4/D17-1)</f>
        <v>-0.16298764287973944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0.108780048</v>
      </c>
      <c r="O6" s="38">
        <f>($S$8*Params!K8)</f>
        <v>370.63965994940537</v>
      </c>
      <c r="P6" s="38">
        <f>(O6*N6)</f>
        <v>40.318199999999997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5.5180571634912752E-2</v>
      </c>
      <c r="N7" s="24">
        <f>($R$8/5)</f>
        <v>0.108780048</v>
      </c>
      <c r="O7" s="38">
        <f>($S$8*Params!K9)</f>
        <v>456.17188916849892</v>
      </c>
      <c r="P7" s="38">
        <f>(O7*N7)</f>
        <v>49.622399999999992</v>
      </c>
      <c r="R7" s="51">
        <f>(B7+B8+B10)</f>
        <v>2.3993E-3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2.2302343378229846E-2</v>
      </c>
      <c r="N8" s="24">
        <f>($R$8/5)</f>
        <v>0.108780048</v>
      </c>
      <c r="O8" s="38">
        <f>($S$8*Params!K10)</f>
        <v>627.23634760668608</v>
      </c>
      <c r="P8" s="38">
        <f>(O8*N8)</f>
        <v>68.230800000000002</v>
      </c>
      <c r="R8" s="51">
        <f>(B11)</f>
        <v>0.54390024000000003</v>
      </c>
      <c r="S8" s="38">
        <f>(C11)</f>
        <v>285.10743073031182</v>
      </c>
      <c r="T8" s="38">
        <f>(R8*S8)</f>
        <v>155.07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0.108780048</v>
      </c>
      <c r="O9" s="38">
        <f>($S$8*Params!K11)</f>
        <v>1140.4297229212473</v>
      </c>
      <c r="P9" s="38">
        <f>(O9*N9)</f>
        <v>124.05599999999998</v>
      </c>
      <c r="R9" s="51">
        <f>(B12)</f>
        <v>0.12890462</v>
      </c>
      <c r="S9" s="38">
        <f>(C12)</f>
        <v>287.80969991610851</v>
      </c>
      <c r="T9" s="38">
        <f>(R9*S9)</f>
        <v>37.1</v>
      </c>
      <c r="U9" t="s">
        <v>15</v>
      </c>
    </row>
    <row r="10" spans="2:21">
      <c r="B10" s="52">
        <v>2.0693199999999999E-3</v>
      </c>
      <c r="C10" s="40">
        <v>0</v>
      </c>
      <c r="D10" s="26">
        <v>0</v>
      </c>
      <c r="E10" s="38">
        <f>(B10*J3)</f>
        <v>0.48589898083216021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0.54390024000000003</v>
      </c>
      <c r="C11" s="38">
        <f>(D11/B11)</f>
        <v>285.10743073031182</v>
      </c>
      <c r="D11" s="38">
        <v>155.07</v>
      </c>
      <c r="E11" t="s">
        <v>10</v>
      </c>
      <c r="P11" s="38">
        <f>(SUM(P6:P9))</f>
        <v>282.22739999999999</v>
      </c>
    </row>
    <row r="12" spans="2:21">
      <c r="B12" s="51">
        <v>0.12890462</v>
      </c>
      <c r="C12" s="38">
        <f>(D12/B12)</f>
        <v>287.80969991610851</v>
      </c>
      <c r="D12" s="38">
        <v>37.1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2.5780924E-2</v>
      </c>
      <c r="O14" s="38">
        <f>($S$9*Params!K8)</f>
        <v>374.15260989094111</v>
      </c>
      <c r="P14" s="38">
        <f>(O14*N14)</f>
        <v>9.6460000000000008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2.5780924E-2</v>
      </c>
      <c r="O15" s="38">
        <f>($S$9*Params!K9)</f>
        <v>460.49551986577364</v>
      </c>
      <c r="P15" s="38">
        <f>(O15*N15)</f>
        <v>11.872</v>
      </c>
    </row>
    <row r="16" spans="2:21">
      <c r="N16" s="24">
        <f>($R$9/5)</f>
        <v>2.5780924E-2</v>
      </c>
      <c r="O16" s="38">
        <f>($S$9*Params!K10)</f>
        <v>633.18133981543883</v>
      </c>
      <c r="P16" s="38">
        <f>(O16*N16)</f>
        <v>16.324000000000002</v>
      </c>
    </row>
    <row r="17" spans="2:16">
      <c r="B17" s="51">
        <f>(SUM(B5:B16))</f>
        <v>0.68494852000000006</v>
      </c>
      <c r="D17" s="38">
        <f>(SUM(D5:D16))</f>
        <v>192.15177244</v>
      </c>
      <c r="F17" t="s">
        <v>9</v>
      </c>
      <c r="G17" s="38">
        <f>(SUM(D5:D16)/SUM(B5:B16))</f>
        <v>280.5346195068791</v>
      </c>
      <c r="N17" s="24">
        <f>($R$9/5)</f>
        <v>2.5780924E-2</v>
      </c>
      <c r="O17" s="38">
        <f>($S$9*Params!K11)</f>
        <v>1151.2387996644341</v>
      </c>
      <c r="P17" s="38">
        <f>(O17*N17)</f>
        <v>29.68</v>
      </c>
    </row>
    <row r="18" spans="2:16">
      <c r="P18" s="38"/>
    </row>
    <row r="19" spans="2:16">
      <c r="P19" s="38">
        <f>(SUM(P14:P17))</f>
        <v>67.521999999999991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9.4340800000000007E-4</v>
      </c>
      <c r="O22" s="38">
        <f>($S$5*Params!K8)</f>
        <v>323.96134165178148</v>
      </c>
      <c r="P22" s="38">
        <f>(O22*N22)</f>
        <v>0.30562772140502387</v>
      </c>
    </row>
    <row r="23" spans="2:16">
      <c r="N23" s="24">
        <f>(($R$5+$R$7)/5)</f>
        <v>9.4340800000000007E-4</v>
      </c>
      <c r="O23" s="38">
        <f>($S$5*Params!K9)</f>
        <v>398.72165126373102</v>
      </c>
      <c r="P23" s="38">
        <f>(O23*N23)</f>
        <v>0.37615719557541399</v>
      </c>
    </row>
    <row r="24" spans="2:16">
      <c r="N24" s="24">
        <f>(($R$5+$R$7)/5)</f>
        <v>9.4340800000000007E-4</v>
      </c>
      <c r="O24" s="38">
        <f>($S$5*Params!K10)</f>
        <v>548.24227048763021</v>
      </c>
      <c r="P24" s="38">
        <f>(O24*N24)</f>
        <v>0.5172161439161943</v>
      </c>
    </row>
    <row r="25" spans="2:16">
      <c r="N25" s="24">
        <f>(($R$5+$R$7)/5)</f>
        <v>9.4340800000000007E-4</v>
      </c>
      <c r="O25" s="38">
        <f>($S$5*Params!K11)</f>
        <v>996.80412815932755</v>
      </c>
      <c r="P25" s="38">
        <f>(O25*N25)</f>
        <v>0.94039298893853496</v>
      </c>
    </row>
    <row r="26" spans="2:16">
      <c r="P26" s="38"/>
    </row>
    <row r="27" spans="2:16">
      <c r="P27" s="38">
        <f>(SUM(P22:P25))</f>
        <v>2.1393940498351673</v>
      </c>
    </row>
    <row r="37" spans="18:20">
      <c r="R37" s="51">
        <f>(SUM(R5:R27))</f>
        <v>0.68494852000000006</v>
      </c>
      <c r="T37" s="38">
        <f>(SUM(T5:T27))</f>
        <v>192.15177244</v>
      </c>
    </row>
  </sheetData>
  <conditionalFormatting sqref="C5:C6 C9 C11:C14 O6:O9 O14 S5:S6 S8:S9">
    <cfRule type="cellIs" dxfId="153" priority="11" operator="lessThan">
      <formula>$J$3</formula>
    </cfRule>
    <cfRule type="cellIs" dxfId="152" priority="12" operator="greaterThan">
      <formula>$J$3</formula>
    </cfRule>
  </conditionalFormatting>
  <conditionalFormatting sqref="O15:O17">
    <cfRule type="cellIs" dxfId="151" priority="7" operator="lessThan">
      <formula>$J$3</formula>
    </cfRule>
    <cfRule type="cellIs" dxfId="150" priority="8" operator="greaterThan">
      <formula>$J$3</formula>
    </cfRule>
  </conditionalFormatting>
  <conditionalFormatting sqref="O22:O25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G17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7.7540320350444364E-2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4.7599721023703419</v>
      </c>
      <c r="K4" s="4">
        <f>(J4/D13-1)</f>
        <v>-4.8005579525931652E-2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0.26793908999999999</v>
      </c>
      <c r="C6" s="40">
        <v>0</v>
      </c>
      <c r="D6" s="26">
        <f>(B6*C6)</f>
        <v>0</v>
      </c>
      <c r="E6" s="38">
        <f>(B6*J3)</f>
        <v>2.0776082873006543E-2</v>
      </c>
      <c r="M6" t="s">
        <v>11</v>
      </c>
      <c r="N6" s="29">
        <f>($B$13/5)</f>
        <v>12.277411495999999</v>
      </c>
      <c r="O6" s="38">
        <f>($C$5*Params!K8)</f>
        <v>0.10634970155367125</v>
      </c>
      <c r="P6" s="38">
        <f>(O6*N6)</f>
        <v>1.3056990484512123</v>
      </c>
    </row>
    <row r="7" spans="2:16">
      <c r="N7" s="29">
        <f>($B$13/5)</f>
        <v>12.277411495999999</v>
      </c>
      <c r="O7" s="38">
        <f>($C$5*Params!K9)</f>
        <v>0.13089194037374924</v>
      </c>
      <c r="P7" s="38">
        <f>(O7*N7)</f>
        <v>1.6070142134784153</v>
      </c>
    </row>
    <row r="8" spans="2:16">
      <c r="N8" s="29">
        <f>($B$13/5)</f>
        <v>12.277411495999999</v>
      </c>
      <c r="O8" s="38">
        <f>($C$5*Params!K10)</f>
        <v>0.17997641801390521</v>
      </c>
      <c r="P8" s="38">
        <f>(O8*N8)</f>
        <v>2.2096445435328214</v>
      </c>
    </row>
    <row r="9" spans="2:16">
      <c r="N9" s="29">
        <f>($B$13/5)</f>
        <v>12.277411495999999</v>
      </c>
      <c r="O9" s="38">
        <f>($C$5*Params!K11)</f>
        <v>0.32722985093437307</v>
      </c>
      <c r="P9" s="38">
        <f>(O9*N9)</f>
        <v>4.0175355336960381</v>
      </c>
    </row>
    <row r="11" spans="2:16">
      <c r="P11" s="38">
        <f>(SUM(P6:P9))</f>
        <v>9.1398933391584869</v>
      </c>
    </row>
    <row r="12" spans="2:16">
      <c r="F12" t="s">
        <v>9</v>
      </c>
      <c r="G12" s="38">
        <f>(D13/B13)</f>
        <v>8.1450393702760693E-2</v>
      </c>
    </row>
    <row r="13" spans="2:16">
      <c r="B13" s="29">
        <f>(SUM(B5:B12))</f>
        <v>61.387057479999996</v>
      </c>
      <c r="D13" s="38">
        <f>(SUM(D5:D12))</f>
        <v>5</v>
      </c>
    </row>
  </sheetData>
  <conditionalFormatting sqref="O6:O9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12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5.2119839219055297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35.768197314002514</v>
      </c>
      <c r="K4" s="4">
        <f>(J4/D14-1)</f>
        <v>-4.3486419273847221E-2</v>
      </c>
      <c r="R4" t="s">
        <v>5</v>
      </c>
      <c r="S4" t="s">
        <v>6</v>
      </c>
      <c r="T4" t="s">
        <v>7</v>
      </c>
    </row>
    <row r="5" spans="2:21">
      <c r="B5" s="24">
        <v>6.7071260500000003</v>
      </c>
      <c r="C5" s="38">
        <f>(D5/B5)</f>
        <v>5.5314302614008577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6.7776240000000001E-2</v>
      </c>
      <c r="S5" s="40">
        <v>0</v>
      </c>
      <c r="T5" s="26">
        <f>(D6)</f>
        <v>0</v>
      </c>
      <c r="U5">
        <f>(R5*J3)</f>
        <v>0.35324867316721043</v>
      </c>
    </row>
    <row r="6" spans="2:21">
      <c r="B6" s="25">
        <v>6.7776240000000001E-2</v>
      </c>
      <c r="C6" s="40">
        <v>0</v>
      </c>
      <c r="D6" s="26">
        <f>(B6*C6)</f>
        <v>0</v>
      </c>
      <c r="E6" s="38">
        <f>(B6*J3)</f>
        <v>0.35324867316721043</v>
      </c>
      <c r="M6" t="s">
        <v>11</v>
      </c>
      <c r="N6" s="24">
        <f>($B$14/5)</f>
        <v>1.3725367480000001</v>
      </c>
      <c r="O6" s="38">
        <f>($S$6*Params!K8)</f>
        <v>7.1908593398211149</v>
      </c>
      <c r="P6" s="38">
        <f>(O6*N6)</f>
        <v>9.8697186936035006</v>
      </c>
      <c r="R6" s="24">
        <f>B5</f>
        <v>6.7071260500000003</v>
      </c>
      <c r="S6" s="38">
        <f>(T6/R6)</f>
        <v>5.5314302614008577</v>
      </c>
      <c r="T6" s="38">
        <f>D5</f>
        <v>37.1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1.3725367480000001</v>
      </c>
      <c r="O7" s="38">
        <f>($S$6*Params!K9)</f>
        <v>8.850288418241373</v>
      </c>
      <c r="P7" s="38">
        <f>(O7*N7)</f>
        <v>12.14734608443508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1.3725367480000001</v>
      </c>
      <c r="O8" s="38">
        <f>($C$5*Params!K10)</f>
        <v>12.169146575081887</v>
      </c>
      <c r="P8" s="38">
        <f>(O8*N8)</f>
        <v>16.702600866098233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1.3725367480000001</v>
      </c>
      <c r="O9" s="38">
        <f>($C$5*Params!K11)</f>
        <v>22.125721045603431</v>
      </c>
      <c r="P9" s="38">
        <f>(O9*N9)</f>
        <v>30.368365211087696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69.088030855224503</v>
      </c>
    </row>
    <row r="13" spans="2:21">
      <c r="F13" t="s">
        <v>9</v>
      </c>
      <c r="G13" s="38">
        <f>(D14/B14)</f>
        <v>5.4489387573031296</v>
      </c>
      <c r="N13" s="24"/>
      <c r="P13" s="38"/>
      <c r="R13" s="24">
        <f>(SUM(R5:R12))</f>
        <v>6.8626837399999996</v>
      </c>
      <c r="T13" s="38">
        <f>(SUM(T5:T12))</f>
        <v>37.394343410000005</v>
      </c>
    </row>
    <row r="14" spans="2:21">
      <c r="B14">
        <f>(SUM(B5:B13))</f>
        <v>6.8626837400000005</v>
      </c>
      <c r="D14" s="38">
        <f>(SUM(D5:D13))</f>
        <v>37.394343409999998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39" priority="15" operator="lessThan">
      <formula>$J$3</formula>
    </cfRule>
    <cfRule type="cellIs" dxfId="13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45.984917111195223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5.6917720790580821</v>
      </c>
      <c r="K4" s="4">
        <f>(J4/D13-1)</f>
        <v>9.4571553665015795E-2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2.9270899999999998E-3</v>
      </c>
      <c r="C6" s="40">
        <v>0</v>
      </c>
      <c r="D6" s="26">
        <f>(B6*C6)</f>
        <v>0</v>
      </c>
      <c r="E6" s="38">
        <f>(B6*J3)</f>
        <v>0.13460199102700843</v>
      </c>
      <c r="M6" t="s">
        <v>11</v>
      </c>
      <c r="N6" s="24">
        <f>($B$13/5)</f>
        <v>2.4754952E-2</v>
      </c>
      <c r="O6" s="38">
        <f>($C$5*Params!K8)</f>
        <v>55.939</v>
      </c>
      <c r="P6" s="38">
        <f>(O6*N6)</f>
        <v>1.3847672599280001</v>
      </c>
    </row>
    <row r="7" spans="2:16">
      <c r="N7" s="24">
        <f>($B$13/5)</f>
        <v>2.4754952E-2</v>
      </c>
      <c r="O7" s="38">
        <f>($C$5*Params!K9)</f>
        <v>68.847999999999999</v>
      </c>
      <c r="P7" s="38">
        <f>(O7*N7)</f>
        <v>1.704328935296</v>
      </c>
    </row>
    <row r="8" spans="2:16">
      <c r="N8" s="24">
        <f>($B$13/5)</f>
        <v>2.4754952E-2</v>
      </c>
      <c r="O8" s="38">
        <f>($C$5*Params!K10)</f>
        <v>94.666000000000011</v>
      </c>
      <c r="P8" s="38">
        <f>(O8*N8)</f>
        <v>2.3434522860320004</v>
      </c>
    </row>
    <row r="9" spans="2:16">
      <c r="N9" s="24">
        <f>($B$13/5)</f>
        <v>2.4754952E-2</v>
      </c>
      <c r="O9" s="38">
        <f>($C$5*Params!K11)</f>
        <v>172.12</v>
      </c>
      <c r="P9" s="38">
        <f>(O9*N9)</f>
        <v>4.2608223382400006</v>
      </c>
    </row>
    <row r="11" spans="2:16">
      <c r="P11" s="38">
        <f>(SUM(P6:P9))</f>
        <v>9.6933708194960015</v>
      </c>
    </row>
    <row r="12" spans="2:16">
      <c r="F12" t="s">
        <v>9</v>
      </c>
      <c r="G12" s="38">
        <f>(D13/B13)</f>
        <v>42.01179626605618</v>
      </c>
    </row>
    <row r="13" spans="2:16">
      <c r="B13">
        <f>(SUM(B5:B12))</f>
        <v>0.12377476</v>
      </c>
      <c r="D13" s="38">
        <f>(SUM(D5:D12))</f>
        <v>5.2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12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4.5764770973126563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10.124800683931625</v>
      </c>
      <c r="K4" s="4">
        <f>(J4/D10-1)</f>
        <v>-7.3724819674877429E-3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2.1748499999999999E-3</v>
      </c>
      <c r="C6" s="40">
        <v>0</v>
      </c>
      <c r="D6" s="26">
        <f>(B6*C6)</f>
        <v>0</v>
      </c>
      <c r="E6" s="38">
        <f>(B6*J3)</f>
        <v>9.9531512150904302E-3</v>
      </c>
      <c r="M6" t="s">
        <v>11</v>
      </c>
      <c r="N6" s="24">
        <f>($B$10/5)</f>
        <v>0.44247137999999991</v>
      </c>
      <c r="O6" s="38">
        <f>($C$5*Params!K8)</f>
        <v>5.9995057873173847</v>
      </c>
      <c r="P6" s="38">
        <f>(O6*N6)</f>
        <v>2.6546096050323094</v>
      </c>
    </row>
    <row r="7" spans="2:16">
      <c r="N7" s="24">
        <f>($B$10/5)</f>
        <v>0.44247137999999991</v>
      </c>
      <c r="O7" s="38">
        <f>($C$5*Params!K9)</f>
        <v>7.3840071228521653</v>
      </c>
      <c r="P7" s="38">
        <f>(O7*N7)</f>
        <v>3.2672118215782264</v>
      </c>
    </row>
    <row r="8" spans="2:16">
      <c r="N8" s="24">
        <f>($B$10/5)</f>
        <v>0.44247137999999991</v>
      </c>
      <c r="O8" s="38">
        <f>($C$5*Params!K10)</f>
        <v>10.153009793921727</v>
      </c>
      <c r="P8" s="38">
        <f>(O8*N8)</f>
        <v>4.4924162546700614</v>
      </c>
    </row>
    <row r="9" spans="2:16">
      <c r="F9" t="s">
        <v>9</v>
      </c>
      <c r="G9" s="38">
        <f>(D10/B10)</f>
        <v>4.6104676871982093</v>
      </c>
      <c r="N9" s="24">
        <f>($B$10/5)</f>
        <v>0.44247137999999991</v>
      </c>
      <c r="O9" s="38">
        <f>($C$5*Params!K11)</f>
        <v>18.460017807130413</v>
      </c>
      <c r="P9" s="38">
        <f>(O9*N9)</f>
        <v>8.1680295539455656</v>
      </c>
    </row>
    <row r="10" spans="2:16">
      <c r="B10">
        <f>(SUM(B5:B9))</f>
        <v>2.2123568999999996</v>
      </c>
      <c r="D10" s="38">
        <f>(SUM(D5:D9))</f>
        <v>10.199999999999999</v>
      </c>
    </row>
    <row r="11" spans="2:16">
      <c r="P11" s="38">
        <f>(SUM(P6:P9))</f>
        <v>18.582267235226162</v>
      </c>
    </row>
    <row r="12" spans="2:16">
      <c r="P12" s="38"/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2.5692504539970309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13.546839055039195</v>
      </c>
      <c r="K4" s="4">
        <f>(J4/D10-1)</f>
        <v>0.19145462225498644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1.713011E-2</v>
      </c>
      <c r="C6" s="40">
        <v>0</v>
      </c>
      <c r="D6" s="26">
        <f>(B6*C6)</f>
        <v>0</v>
      </c>
      <c r="E6" s="38">
        <f>(B6*J3)</f>
        <v>4.4011542894519078E-2</v>
      </c>
      <c r="M6" t="s">
        <v>11</v>
      </c>
      <c r="N6" s="1">
        <f>($B$10/5)</f>
        <v>1.054536278</v>
      </c>
      <c r="O6" s="38">
        <f>($C$5*Params!K8)</f>
        <v>2.8124547193077718</v>
      </c>
      <c r="P6" s="38">
        <f>(O6*N6)</f>
        <v>2.9658355317423526</v>
      </c>
    </row>
    <row r="7" spans="2:16">
      <c r="N7" s="1">
        <f>($B$10/5)</f>
        <v>1.054536278</v>
      </c>
      <c r="O7" s="38">
        <f>($C$5*Params!K9)</f>
        <v>3.4614827314557193</v>
      </c>
      <c r="P7" s="38">
        <f>(O7*N7)</f>
        <v>3.6502591159905879</v>
      </c>
    </row>
    <row r="8" spans="2:16">
      <c r="N8" s="1">
        <f>($B$10/5)</f>
        <v>1.054536278</v>
      </c>
      <c r="O8" s="38">
        <f>($C$5*Params!K10)</f>
        <v>4.7595387557516142</v>
      </c>
      <c r="P8" s="38">
        <f>(O8*N8)</f>
        <v>5.0191062844870586</v>
      </c>
    </row>
    <row r="9" spans="2:16">
      <c r="F9" t="s">
        <v>9</v>
      </c>
      <c r="G9" s="38">
        <f>(D10/B10)</f>
        <v>2.1563980750978016</v>
      </c>
      <c r="N9" s="1">
        <f>($B$10/5)</f>
        <v>1.054536278</v>
      </c>
      <c r="O9" s="38">
        <f>($C$5*Params!K11)</f>
        <v>8.6537068286392973</v>
      </c>
      <c r="P9" s="38">
        <f>(O9*N9)</f>
        <v>9.125647789976469</v>
      </c>
    </row>
    <row r="10" spans="2:16">
      <c r="B10" s="1">
        <f>(SUM(B5:B9))</f>
        <v>5.2726813899999998</v>
      </c>
      <c r="D10" s="38">
        <f>(SUM(D5:D9))</f>
        <v>11.37</v>
      </c>
    </row>
    <row r="11" spans="2:16">
      <c r="P11" s="38">
        <f>(SUM(P6:P9))</f>
        <v>20.760848722196467</v>
      </c>
    </row>
  </sheetData>
  <conditionalFormatting sqref="C5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O6:O9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9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R19" sqref="R19:U2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37646.557308879848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1117.3995143832019</v>
      </c>
      <c r="K4" s="4">
        <f>(J4/D37-1)</f>
        <v>0.57827383357966267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3.4696E-4</v>
      </c>
      <c r="C6" s="40">
        <v>0</v>
      </c>
      <c r="D6" s="26">
        <f>(B6*C6)</f>
        <v>0</v>
      </c>
      <c r="E6" s="38">
        <f>(B6*J3)</f>
        <v>13.061849523888952</v>
      </c>
      <c r="I6" t="s">
        <v>11</v>
      </c>
      <c r="J6">
        <v>0.03</v>
      </c>
      <c r="R6" s="24">
        <f t="shared" si="0"/>
        <v>3.4696E-4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3.1867999999999133E-4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11.997204883193504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6.22465E-3</v>
      </c>
      <c r="S19" s="38">
        <f t="shared" si="2"/>
        <v>23655.305728032901</v>
      </c>
      <c r="T19" s="38">
        <f>(D23+17438.6*B32)</f>
        <v>147.2459988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1.43282E-3</v>
      </c>
      <c r="S20" s="38">
        <f t="shared" si="2"/>
        <v>25267.625310925308</v>
      </c>
      <c r="T20" s="38">
        <f>(D24+17211.7*B31)</f>
        <v>36.203958898000003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6.5666500000000003E-3</v>
      </c>
      <c r="C23" s="38">
        <f t="shared" si="3"/>
        <v>23331.531298302787</v>
      </c>
      <c r="D23" s="38">
        <v>153.21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1.4848800000000001E-3</v>
      </c>
      <c r="C24" s="38">
        <f t="shared" si="3"/>
        <v>24985.183987931683</v>
      </c>
      <c r="D24" s="38">
        <v>37.1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1.6418299999999999E-3</v>
      </c>
      <c r="S24" s="38">
        <f>(T24/R24)</f>
        <v>26038.018552468893</v>
      </c>
      <c r="T24" s="38">
        <f>(D34)</f>
        <v>42.75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1.6418299999999999E-3</v>
      </c>
      <c r="C34" s="38">
        <f>(D34/B34)</f>
        <v>26038.018552468893</v>
      </c>
      <c r="D34" s="38">
        <v>42.75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23852.994650170545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2.895205E-2</v>
      </c>
      <c r="T36" s="38">
        <f>(SUM(T5:T25))</f>
        <v>523.90980017000004</v>
      </c>
    </row>
    <row r="37" spans="2:20">
      <c r="B37">
        <f>(SUM(B5:B36))</f>
        <v>2.9681320000000008E-2</v>
      </c>
      <c r="D37" s="38">
        <f>(SUM(D5:D36))</f>
        <v>707.98836717000017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2.2846600000000004E-3</v>
      </c>
      <c r="N50" s="38">
        <f>($S$19*Params!K16)</f>
        <v>47310.611456065802</v>
      </c>
      <c r="O50" s="41">
        <f>(N50*M50)</f>
        <v>108.08866156921532</v>
      </c>
    </row>
    <row r="51" spans="12:16">
      <c r="M51">
        <f>($B$23/5)</f>
        <v>1.3133300000000001E-3</v>
      </c>
      <c r="N51" s="38">
        <f>($S$19*Params!K17)</f>
        <v>94621.222912131605</v>
      </c>
      <c r="O51" s="41">
        <f>(N51*M51)</f>
        <v>124.26889068718981</v>
      </c>
    </row>
    <row r="52" spans="12:16">
      <c r="M52">
        <f>($B$23/5)</f>
        <v>1.3133300000000001E-3</v>
      </c>
      <c r="N52" s="38">
        <f>($S$19*Params!K18)</f>
        <v>189242.44582426321</v>
      </c>
      <c r="O52" s="41">
        <f>(N52*M52)</f>
        <v>248.53778137437962</v>
      </c>
    </row>
    <row r="54" spans="12:16">
      <c r="O54" s="41">
        <f>(SUM(O49:O52))</f>
        <v>488.35093363078477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5.4189199999999998E-4</v>
      </c>
      <c r="N58" s="38">
        <f>($S$20*Params!K16)</f>
        <v>50535.250621850617</v>
      </c>
      <c r="O58" s="41">
        <f>(N58*M58)</f>
        <v>27.384648029975875</v>
      </c>
    </row>
    <row r="59" spans="12:16">
      <c r="M59">
        <f>($B$24/5)</f>
        <v>2.9697600000000001E-4</v>
      </c>
      <c r="N59" s="38">
        <f>($S$20*Params!K17)</f>
        <v>101070.50124370123</v>
      </c>
      <c r="O59" s="41">
        <f>(N59*M59)</f>
        <v>30.015513177349419</v>
      </c>
    </row>
    <row r="60" spans="12:16">
      <c r="M60">
        <f>($B$24/5)</f>
        <v>2.9697600000000001E-4</v>
      </c>
      <c r="N60" s="38">
        <f>($S$20*Params!K18)</f>
        <v>202141.00248740247</v>
      </c>
      <c r="O60" s="41">
        <f>(N60*M60)</f>
        <v>60.031026354698838</v>
      </c>
    </row>
    <row r="62" spans="12:16">
      <c r="O62" s="41">
        <f>(SUM(O57:O60))</f>
        <v>118.55360116202414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3.2836599999999997E-4</v>
      </c>
      <c r="N73" s="38">
        <f>($S$24*Params!K15)</f>
        <v>39057.027828703343</v>
      </c>
      <c r="O73" s="41">
        <f>(N73*M73)</f>
        <v>12.825000000000001</v>
      </c>
    </row>
    <row r="74" spans="12:16">
      <c r="M74">
        <f>($R$24/5)</f>
        <v>3.2836599999999997E-4</v>
      </c>
      <c r="N74" s="38">
        <f>($S$24*Params!K16)</f>
        <v>52076.037104937786</v>
      </c>
      <c r="O74" s="41">
        <f>(N74*M74)</f>
        <v>17.099999999999998</v>
      </c>
    </row>
    <row r="75" spans="12:16">
      <c r="M75">
        <f>($R$24/5)</f>
        <v>3.2836599999999997E-4</v>
      </c>
      <c r="N75" s="38">
        <f>($S$24*Params!K17)</f>
        <v>104152.07420987557</v>
      </c>
      <c r="O75" s="41">
        <f>(N75*M75)</f>
        <v>34.199999999999996</v>
      </c>
    </row>
    <row r="76" spans="12:16">
      <c r="M76">
        <f>($R$24/5)</f>
        <v>3.2836599999999997E-4</v>
      </c>
      <c r="N76" s="38">
        <f>($S$24*Params!K18)</f>
        <v>208304.14841975115</v>
      </c>
      <c r="O76" s="41">
        <f>(N76*M76)</f>
        <v>68.399999999999991</v>
      </c>
    </row>
    <row r="78" spans="12:16">
      <c r="O78" s="41">
        <f>(SUM(O73:O76))</f>
        <v>132.52499999999998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M1" sqref="M1:P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14.512137374116049</v>
      </c>
      <c r="M3" t="s">
        <v>4</v>
      </c>
      <c r="N3" s="24">
        <f>(INDEX(N5:N16,MATCH(MAX(O6:O7),O5:O16,0))/0.9)</f>
        <v>0.30371801333333343</v>
      </c>
      <c r="O3" s="39">
        <f>(MAX(O6:O8)*0.85)</f>
        <v>12.906255639431281</v>
      </c>
      <c r="P3" s="35">
        <f>(O3*N3)</f>
        <v>3.9198623223801996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(B11*J3)</f>
        <v>7.6770273351170912</v>
      </c>
      <c r="K4" s="4">
        <f>(J4/D11-1)</f>
        <v>-13.351341126299429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2.2418199999999998E-3</v>
      </c>
      <c r="C6" s="40">
        <v>0</v>
      </c>
      <c r="D6" s="26">
        <f>(B6*C6)</f>
        <v>0</v>
      </c>
      <c r="E6" s="38">
        <f>(B6*J3)</f>
        <v>3.2533599808040839E-2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2.2418199999999998E-3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-B9</f>
        <v>0.2616</v>
      </c>
      <c r="O8" s="38">
        <f>($C$5*Params!K10)</f>
        <v>15.183830164036802</v>
      </c>
      <c r="P8" s="38">
        <f>(O8*N8)</f>
        <v>3.9720899709120276</v>
      </c>
      <c r="Q8" t="s">
        <v>12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B9" s="1">
        <v>-0.2616</v>
      </c>
      <c r="C9" s="38">
        <f>D9/B9</f>
        <v>15.329814220183486</v>
      </c>
      <c r="D9" s="38">
        <f>-4.0102794</f>
        <v>-4.0102793999999999</v>
      </c>
      <c r="N9" s="24">
        <f>4*($B$5+B6)/5-N8-N7-N6</f>
        <v>0.26353966799999995</v>
      </c>
      <c r="O9" s="38">
        <f>($C$5*Params!K11)</f>
        <v>27.606963934612367</v>
      </c>
      <c r="P9" s="38">
        <f>(O9*N9)</f>
        <v>7.2755301098157155</v>
      </c>
      <c r="R9" s="1">
        <f>B9</f>
        <v>-0.2616</v>
      </c>
      <c r="S9" s="38">
        <f>(T9/R9)</f>
        <v>15.329814220183486</v>
      </c>
      <c r="T9" s="38">
        <f>D9</f>
        <v>-4.0102793999999999</v>
      </c>
      <c r="U9" s="39"/>
    </row>
    <row r="10" spans="2:21">
      <c r="C10" s="38"/>
      <c r="D10" s="38"/>
      <c r="F10" t="s">
        <v>9</v>
      </c>
      <c r="G10" s="38">
        <f>(D11/B11)</f>
        <v>-1.1749442611714194</v>
      </c>
      <c r="O10" s="38"/>
      <c r="P10" s="38"/>
      <c r="R10" s="1"/>
      <c r="S10" s="38"/>
      <c r="T10" s="38"/>
      <c r="U10" s="39"/>
    </row>
    <row r="11" spans="2:21">
      <c r="B11">
        <f>(SUM(B5:B10))</f>
        <v>0.5290073500000001</v>
      </c>
      <c r="C11" s="38"/>
      <c r="D11" s="38">
        <f>(SUM(D5:D10))</f>
        <v>-0.62155415000000058</v>
      </c>
      <c r="O11" s="38"/>
      <c r="P11" s="38">
        <f>(SUM(P6:P9))</f>
        <v>16.927209794432876</v>
      </c>
      <c r="R11" s="1"/>
      <c r="S11" s="38"/>
      <c r="T11" s="39"/>
    </row>
    <row r="22" spans="18:20">
      <c r="R22">
        <f>(SUM(R5:R21))</f>
        <v>0.5290073500000001</v>
      </c>
      <c r="T22" s="38">
        <f>(SUM(T5:T21))</f>
        <v>-0.62155415000000058</v>
      </c>
    </row>
  </sheetData>
  <conditionalFormatting sqref="C5 G10 O9 S5">
    <cfRule type="cellIs" dxfId="119" priority="9" operator="lessThan">
      <formula>$J$3</formula>
    </cfRule>
    <cfRule type="cellIs" dxfId="118" priority="10" operator="greaterThan">
      <formula>$J$3</formula>
    </cfRule>
  </conditionalFormatting>
  <conditionalFormatting sqref="O3">
    <cfRule type="cellIs" dxfId="117" priority="3" operator="greaterThan">
      <formula>$J$3</formula>
    </cfRule>
    <cfRule type="cellIs" dxfId="116" priority="4" operator="less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69.966663732785364</v>
      </c>
      <c r="M3" t="s">
        <v>4</v>
      </c>
      <c r="N3" s="24">
        <f>(INDEX(N5:N15,MATCH(MAX(O6),O5:O15,0))/0.9)</f>
        <v>3.6443462222222223E-2</v>
      </c>
      <c r="O3" s="39">
        <f>(MAX(O6)*0.85)</f>
        <v>76.033733733733726</v>
      </c>
      <c r="P3" s="35">
        <f>(O3*N3)</f>
        <v>2.7709325029398286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11.474223599523102</v>
      </c>
      <c r="K4" s="4">
        <f>(J4/D15-1)</f>
        <v>0.15447873137433321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1.0379899999999999E-3</v>
      </c>
      <c r="C6" s="40">
        <v>0</v>
      </c>
      <c r="D6" s="26">
        <f>(B6*C6)</f>
        <v>0</v>
      </c>
      <c r="E6" s="38">
        <f>(B6*J3)</f>
        <v>7.2624697287993881E-2</v>
      </c>
      <c r="M6" t="s">
        <v>11</v>
      </c>
      <c r="N6" s="51">
        <f>(SUM(R$5:R$8)/5)</f>
        <v>3.2799116000000003E-2</v>
      </c>
      <c r="O6" s="38">
        <f>($C$7*Params!K8)</f>
        <v>89.451451451451447</v>
      </c>
      <c r="P6" s="38">
        <f>(O6*N6)</f>
        <v>2.9339285325245248</v>
      </c>
      <c r="R6" s="2">
        <f>(B6)</f>
        <v>1.0379899999999999E-3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3.2799116000000003E-2</v>
      </c>
      <c r="O7" s="38">
        <f>($C$7*Params!K9)</f>
        <v>110.09409409409409</v>
      </c>
      <c r="P7" s="38">
        <f>(O7*N7)</f>
        <v>3.6109889631071073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3.2799116000000003E-2</v>
      </c>
      <c r="O8" s="38">
        <f>($C$7*Params!K10)</f>
        <v>151.37937937937937</v>
      </c>
      <c r="P8" s="38">
        <f>(O8*N8)</f>
        <v>4.9651098242722727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1.2627862152062175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3.2799116000000003E-2</v>
      </c>
      <c r="O9" s="38">
        <f>($C$7*Params!K11)</f>
        <v>275.23523523523522</v>
      </c>
      <c r="P9" s="38">
        <f>(O9*N9)</f>
        <v>9.0274724077677675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20.537499727671673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60.604549768963281</v>
      </c>
    </row>
    <row r="15" spans="2:21">
      <c r="B15" s="1">
        <f>(SUM(B5:B14))</f>
        <v>0.16399558</v>
      </c>
      <c r="D15" s="38">
        <f>(SUM(D5:D14))</f>
        <v>9.9388782899999999</v>
      </c>
    </row>
    <row r="21" spans="18:20">
      <c r="R21">
        <f>(SUM(R5:R20))</f>
        <v>0.16399558000000003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20"/>
  <sheetViews>
    <sheetView workbookViewId="0">
      <selection activeCell="E25" sqref="E25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0.64231943058786389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(B20*J3)</f>
        <v>2.2663832464671048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5.4435440000000002E-2</v>
      </c>
      <c r="C6" s="40">
        <v>0</v>
      </c>
      <c r="D6" s="26">
        <f>(B6*C6)</f>
        <v>0</v>
      </c>
      <c r="E6" s="38">
        <f>(B6*J3)</f>
        <v>3.4964940824599833E-2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8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6" spans="2:10">
      <c r="B16">
        <v>0.31639059000000003</v>
      </c>
      <c r="C16" s="38">
        <v>0</v>
      </c>
      <c r="D16" s="38">
        <f t="shared" si="0"/>
        <v>0</v>
      </c>
    </row>
    <row r="17" spans="2:4">
      <c r="B17">
        <v>0.31639059000000003</v>
      </c>
      <c r="C17" s="38">
        <v>0</v>
      </c>
      <c r="D17" s="38">
        <f t="shared" si="0"/>
        <v>0</v>
      </c>
    </row>
    <row r="18" spans="2:4">
      <c r="B18">
        <v>0.31639059000000003</v>
      </c>
      <c r="C18" s="38">
        <v>0</v>
      </c>
      <c r="D18" s="38">
        <f t="shared" si="0"/>
        <v>0</v>
      </c>
    </row>
    <row r="20" spans="2:4">
      <c r="B20">
        <f>(SUM(B5:B19))</f>
        <v>3.5284363800000014</v>
      </c>
      <c r="D20" s="38">
        <f>(SUM(D5:D19))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7.4513900917456383E-5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25.327058694737431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4742.3554302599996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4742.3554302599996</v>
      </c>
      <c r="C18" s="40">
        <v>0</v>
      </c>
      <c r="D18" s="26">
        <f>(B18*C18)</f>
        <v>0</v>
      </c>
      <c r="E18" s="38">
        <f>(B18*J3)</f>
        <v>0.35337140264575484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4.6267294812298054</v>
      </c>
    </row>
    <row r="37" spans="2:20">
      <c r="B37">
        <f>(SUM(B5:B36))</f>
        <v>339897.09816419042</v>
      </c>
      <c r="D37" s="38">
        <f>(SUM(D5:D36))</f>
        <v>-21.780357561799917</v>
      </c>
      <c r="F37" t="s">
        <v>9</v>
      </c>
      <c r="G37" s="28">
        <f>(D37/B37)</f>
        <v>-6.4079268930029864E-5</v>
      </c>
      <c r="R37">
        <f>(SUM(R5:R36))</f>
        <v>339897.09816419042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O6" sqref="O6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0.78470598327074681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42.675826131138756</v>
      </c>
      <c r="K4" s="4">
        <f>(J4/D18-1)</f>
        <v>-9.9026211560610089E-2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0.31385953999999999</v>
      </c>
      <c r="C6" s="40">
        <v>0</v>
      </c>
      <c r="D6" s="26">
        <f>(B6*C6)</f>
        <v>0</v>
      </c>
      <c r="E6" s="38">
        <f>(B6*J3)</f>
        <v>0.24628745894460427</v>
      </c>
      <c r="M6" t="s">
        <v>11</v>
      </c>
      <c r="N6" s="19">
        <f>($B$7+$R$9)/5</f>
        <v>8.1394281237777779</v>
      </c>
      <c r="O6" s="38">
        <f>($S$7*Params!K8)</f>
        <v>1.2037567106984433</v>
      </c>
      <c r="P6" s="38">
        <f>(O6*N6)</f>
        <v>9.7978912252451398</v>
      </c>
      <c r="R6" s="36">
        <f>(B6)</f>
        <v>0.31385953999999999</v>
      </c>
      <c r="S6" s="40">
        <v>0</v>
      </c>
      <c r="T6" s="26">
        <f>(D6)</f>
        <v>0</v>
      </c>
      <c r="U6" s="38">
        <f>(R6*J3)</f>
        <v>0.24628745894460427</v>
      </c>
    </row>
    <row r="7" spans="2:21">
      <c r="B7" s="19">
        <v>40.06623562</v>
      </c>
      <c r="C7" s="38">
        <f t="shared" ref="C7:C14" si="0">(D7/B7)</f>
        <v>0.92596670053726404</v>
      </c>
      <c r="D7" s="38">
        <v>37.1</v>
      </c>
      <c r="E7" t="s">
        <v>15</v>
      </c>
      <c r="N7" s="19">
        <f>($B$7+$R$9)/5</f>
        <v>8.1394281237777779</v>
      </c>
      <c r="O7" s="38">
        <f>($S$7*Params!K9)</f>
        <v>1.4815467208596225</v>
      </c>
      <c r="P7" s="38">
        <f>(O7*N7)</f>
        <v>12.058943046455557</v>
      </c>
      <c r="R7" s="19">
        <f>B7</f>
        <v>40.06623562</v>
      </c>
      <c r="S7" s="38">
        <f>(T7/R7)</f>
        <v>0.92596670053726404</v>
      </c>
      <c r="T7" s="38">
        <f>D7</f>
        <v>37.1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8.1394281237777779</v>
      </c>
      <c r="O8" s="38">
        <f>($S$7*Params!K10)</f>
        <v>2.0371267411819809</v>
      </c>
      <c r="P8" s="38">
        <f>(O8*N8)</f>
        <v>16.581046688876391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8.1394281237777779</v>
      </c>
      <c r="O9" s="38">
        <f>($C$7*Params!K11)</f>
        <v>3.7038668021490562</v>
      </c>
      <c r="P9" s="38">
        <f>(O9*N9)</f>
        <v>30.147357616138891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68.58523857671598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0.8709531768176797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54.384479079999998</v>
      </c>
      <c r="S17" s="38"/>
      <c r="T17" s="38">
        <f>(SUM(T5:T12))</f>
        <v>47.366334824300644</v>
      </c>
    </row>
    <row r="18" spans="2:20">
      <c r="B18" s="19">
        <f>(SUM(B5:B17))</f>
        <v>54.384479079999998</v>
      </c>
      <c r="D18" s="38">
        <f>(SUM(D5:D17))</f>
        <v>47.366334824300644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0.73932764807573748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39.020028618671965</v>
      </c>
      <c r="K4" s="4">
        <f>(J4/D10-1)</f>
        <v>-1.4396852268957816E-2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0.31467983999999999</v>
      </c>
      <c r="C6" s="40">
        <v>0</v>
      </c>
      <c r="D6" s="26">
        <f>(B6*C6)</f>
        <v>0</v>
      </c>
      <c r="E6" s="38">
        <f>(B6*J3)</f>
        <v>0.23265150600404938</v>
      </c>
      <c r="M6" t="s">
        <v>11</v>
      </c>
      <c r="N6" s="29">
        <f>($B$10/5)</f>
        <v>10.555544275999999</v>
      </c>
      <c r="O6" s="38">
        <f>($C$5*Params!K8)</f>
        <v>0.98505771545924514</v>
      </c>
      <c r="P6" s="38">
        <f>(O6*N6)</f>
        <v>10.397820329945471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0.15920795430120735</v>
      </c>
      <c r="N7" s="29">
        <f>($B$10/5)</f>
        <v>10.555544275999999</v>
      </c>
      <c r="O7" s="38">
        <f>($C$5*Params!K9)</f>
        <v>1.2123787267190709</v>
      </c>
      <c r="P7" s="38">
        <f>(O7*N7)</f>
        <v>12.797317329163656</v>
      </c>
    </row>
    <row r="8" spans="2:16">
      <c r="N8" s="29">
        <f>($B$10/5)</f>
        <v>10.555544275999999</v>
      </c>
      <c r="O8" s="38">
        <f>($C$5*Params!K10)</f>
        <v>1.6670207492387226</v>
      </c>
      <c r="P8" s="38">
        <f>(O8*N8)</f>
        <v>17.596311327600027</v>
      </c>
    </row>
    <row r="9" spans="2:16">
      <c r="F9" t="s">
        <v>9</v>
      </c>
      <c r="G9" s="38">
        <f>(D10/B10)</f>
        <v>0.75012711736741533</v>
      </c>
      <c r="N9" s="29">
        <f>($B$10/5)</f>
        <v>10.555544275999999</v>
      </c>
      <c r="O9" s="38">
        <f>($C$5*Params!K11)</f>
        <v>3.0309468167976772</v>
      </c>
      <c r="P9" s="38">
        <f>(O9*N9)</f>
        <v>31.993293322909139</v>
      </c>
    </row>
    <row r="10" spans="2:16">
      <c r="B10" s="29">
        <f>(SUM(B5:B9))</f>
        <v>52.777721379999996</v>
      </c>
      <c r="D10" s="38">
        <f>(SUM(D5:D9))</f>
        <v>39.590000000000003</v>
      </c>
    </row>
    <row r="11" spans="2:16">
      <c r="P11" s="38">
        <f>(SUM(P6:P9))</f>
        <v>72.784742309618295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1.8188210353156311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42.691668196455609</v>
      </c>
      <c r="K4" s="4">
        <f>(J4/D19-1)</f>
        <v>7.2679933633813087E-2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21.326256749999999</v>
      </c>
      <c r="C6" s="38">
        <f>(D6/B6)</f>
        <v>1.7396395642662421</v>
      </c>
      <c r="D6" s="38">
        <v>37.1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21.326256749999999</v>
      </c>
      <c r="S6" s="38">
        <f>(T6/R6)</f>
        <v>1.7396395642662421</v>
      </c>
      <c r="T6" s="38">
        <f>D6</f>
        <v>37.1</v>
      </c>
      <c r="U6" s="38" t="str">
        <f>(E6)</f>
        <v>DCA2</v>
      </c>
    </row>
    <row r="7" spans="2:22">
      <c r="B7" s="2">
        <v>9.8787479999999997E-2</v>
      </c>
      <c r="C7" s="40">
        <v>0</v>
      </c>
      <c r="D7" s="26">
        <v>0</v>
      </c>
      <c r="E7" s="39">
        <f>B7*J3</f>
        <v>0.17967674664982219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9.8787479999999997E-2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0.381844539993072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0.38673874515578266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4.2924144039999996</v>
      </c>
      <c r="O14" s="38">
        <f>($C$6*Params!K8)</f>
        <v>2.2615314335461147</v>
      </c>
      <c r="P14" s="38">
        <f>(O14*N14)</f>
        <v>9.7074301004521111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4.2924144039999996</v>
      </c>
      <c r="O15" s="38">
        <f>($C$6*Params!K9)</f>
        <v>2.7834233028259874</v>
      </c>
      <c r="P15" s="38">
        <f>(O15*N15)</f>
        <v>11.947606277479521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4.2924144039999996</v>
      </c>
      <c r="O16" s="38">
        <f>($C$6*Params!K10)</f>
        <v>3.8272070413857331</v>
      </c>
      <c r="P16" s="38">
        <f>(O16*N16)</f>
        <v>16.427958631534345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4.2924144039999996</v>
      </c>
      <c r="O17" s="38">
        <f>($C$6*Params!K11)</f>
        <v>6.9585582570649684</v>
      </c>
      <c r="P17" s="38">
        <f>(O17*N17)</f>
        <v>29.869015693698802</v>
      </c>
      <c r="S17" s="38"/>
      <c r="T17" s="38"/>
    </row>
    <row r="18" spans="2:20">
      <c r="C18" s="38"/>
      <c r="D18" s="38"/>
      <c r="F18" t="s">
        <v>9</v>
      </c>
      <c r="G18" s="38">
        <f>(D19/B19)</f>
        <v>1.6955859602539489</v>
      </c>
      <c r="O18" s="38"/>
      <c r="P18" s="38"/>
      <c r="S18" s="38"/>
      <c r="T18" s="38"/>
    </row>
    <row r="19" spans="2:20">
      <c r="B19" s="1">
        <f>(SUM(B5:B18))</f>
        <v>23.472165412385976</v>
      </c>
      <c r="C19" s="38"/>
      <c r="D19" s="38">
        <f>(SUM(D5:D18))</f>
        <v>39.799074130000001</v>
      </c>
      <c r="O19" s="38"/>
      <c r="P19" s="38">
        <f>(SUM(P14:P17))</f>
        <v>67.952010703164774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23.47216541238598</v>
      </c>
      <c r="S22" s="38"/>
      <c r="T22" s="38">
        <f>(SUM(T5:T21))</f>
        <v>39.799074130000001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8.1993257038348138E-6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3.6059541475349191</v>
      </c>
      <c r="K4" s="4">
        <f>(J4/D13-1)</f>
        <v>-0.28311050744832622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254.99</v>
      </c>
      <c r="C6" s="40">
        <v>0</v>
      </c>
      <c r="D6" s="26">
        <f>(B6*C6)</f>
        <v>0</v>
      </c>
      <c r="E6" s="38">
        <f>(B6*J3)</f>
        <v>2.0907460612208393E-3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1.1437363483527139E-5</v>
      </c>
    </row>
    <row r="13" spans="2:16">
      <c r="B13">
        <f>(SUM(B5:B12))</f>
        <v>439786.67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Q31" sqref="Q31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57.841981925358027</v>
      </c>
      <c r="M3" t="s">
        <v>4</v>
      </c>
      <c r="N3" s="24">
        <f>(INDEX(N5:N26,MATCH(MAX(O6:O9,O23:O24,O14:O15),O5:O26,0))/0.9)</f>
        <v>0.1209481488888889</v>
      </c>
      <c r="O3" s="39">
        <f>(MAX(O14:O16,O23:O25,O6:O9)*0.85)</f>
        <v>43.667054002813281</v>
      </c>
      <c r="P3" s="38">
        <f>(O3*N3)</f>
        <v>5.2814493490714129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(B43*J3)</f>
        <v>212.26860886466855</v>
      </c>
      <c r="K4" s="4">
        <f>(J4/D43-1)</f>
        <v>5.1180163397711578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Q9" t="s">
        <v>12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0.12146816204325185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5.6632494400000004</v>
      </c>
      <c r="S13" s="38">
        <f>(T13/R13)</f>
        <v>19.790339130815326</v>
      </c>
      <c r="T13" s="38">
        <f>(D17+11.97*B21)</f>
        <v>112.07762699999999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0.35636520258789867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6.0673360000000003E-2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3.0527725536601987E-2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1.7616300499999999</v>
      </c>
      <c r="S15" s="38">
        <f>(T15/R15)</f>
        <v>20.549068176942146</v>
      </c>
      <c r="T15" s="38">
        <f>(D19+12.6*B22)</f>
        <v>36.199856000000004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1.2326332360000003</v>
      </c>
      <c r="O16" s="38">
        <f>43.54</f>
        <v>43.54</v>
      </c>
      <c r="P16" s="38">
        <f>(O16*N16)</f>
        <v>53.668851095440012</v>
      </c>
      <c r="Q16" t="s">
        <v>12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5.9441494400000003</v>
      </c>
      <c r="C17" s="38">
        <f>(D17/B17)</f>
        <v>19.420776877372717</v>
      </c>
      <c r="D17" s="38">
        <v>115.44</v>
      </c>
      <c r="E17" t="s">
        <v>10</v>
      </c>
      <c r="N17" s="24">
        <f>(($R$13+N14+$R$21)/5)</f>
        <v>1.197844412</v>
      </c>
      <c r="O17" s="38">
        <f>($S$13*Params!K11)</f>
        <v>79.161356523261304</v>
      </c>
      <c r="P17" s="38">
        <f>(O17*N17)</f>
        <v>94.822988557728308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6.0673360000000003E-2</v>
      </c>
      <c r="C18" s="40">
        <v>0</v>
      </c>
      <c r="D18" s="26">
        <v>0</v>
      </c>
      <c r="E18" s="39">
        <f>B18*J3</f>
        <v>3.5094673924707407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1.8330700499999999</v>
      </c>
      <c r="C19" s="38">
        <f t="shared" ref="C19:C32" si="1">(D19/B19)</f>
        <v>20.239270179554786</v>
      </c>
      <c r="D19" s="38">
        <v>37.1</v>
      </c>
      <c r="E19" t="s">
        <v>15</v>
      </c>
      <c r="O19" s="38"/>
      <c r="P19" s="38">
        <f>(SUM(P14:P17))</f>
        <v>217.99620440316832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0.43916881466371371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2.6954108868482942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3.0622415913685304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 t="shared" ref="R22:R27" si="2">B36</f>
        <v>-0.10885</v>
      </c>
      <c r="S22" s="39">
        <f>T22/R22</f>
        <v>23.941203491042717</v>
      </c>
      <c r="T22" s="39">
        <f t="shared" ref="T22:T27" si="3"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 t="shared" si="2"/>
        <v>-2.08</v>
      </c>
      <c r="S23" s="39">
        <f>T23/R23</f>
        <v>31.395271514423076</v>
      </c>
      <c r="T23" s="38">
        <f t="shared" si="3"/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32.878509083107438</v>
      </c>
      <c r="P24" s="38">
        <f>(O24*N24)</f>
        <v>21.371030904019836</v>
      </c>
      <c r="Q24" t="s">
        <v>12</v>
      </c>
      <c r="R24" s="24">
        <f t="shared" si="2"/>
        <v>-0.1</v>
      </c>
      <c r="S24" s="38">
        <f>T24/R24</f>
        <v>31.194569999999995</v>
      </c>
      <c r="T24" s="38">
        <f t="shared" si="3"/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0.3822326880000001</v>
      </c>
      <c r="O25" s="38">
        <f>45.21</f>
        <v>45.21</v>
      </c>
      <c r="P25" s="38">
        <f>(O25*N25)</f>
        <v>17.280739824480005</v>
      </c>
      <c r="Q25" t="s">
        <v>12</v>
      </c>
      <c r="R25" s="24">
        <f t="shared" si="2"/>
        <v>-0.65</v>
      </c>
      <c r="S25" s="38">
        <f>C39</f>
        <v>32.934038338461541</v>
      </c>
      <c r="T25" s="38">
        <f t="shared" si="3"/>
        <v>-21.407124920000001</v>
      </c>
      <c r="U25" t="s">
        <v>90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0.36789089599999997</v>
      </c>
      <c r="O26" s="38">
        <f>($S$15*Params!K11)</f>
        <v>82.196272707768586</v>
      </c>
      <c r="P26" s="38">
        <f>(O26*N26)</f>
        <v>30.239260414321329</v>
      </c>
      <c r="R26" s="24">
        <f t="shared" si="2"/>
        <v>-1.6148</v>
      </c>
      <c r="S26" s="38">
        <f>C40</f>
        <v>46.861096439187513</v>
      </c>
      <c r="T26" s="38">
        <f t="shared" si="3"/>
        <v>-75.671298530000001</v>
      </c>
      <c r="U26" t="s">
        <v>91</v>
      </c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R27" s="24">
        <f t="shared" si="2"/>
        <v>-0.10879999999999999</v>
      </c>
      <c r="S27" s="38">
        <f>C41</f>
        <v>58.381847426470586</v>
      </c>
      <c r="T27" s="38">
        <f t="shared" si="3"/>
        <v>-6.3519449999999997</v>
      </c>
      <c r="U27" t="s">
        <v>92</v>
      </c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70.05413466282117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41" si="4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4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4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4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4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4"/>
        <v>31.194569999999995</v>
      </c>
      <c r="D38" s="38">
        <f>-3.1462+0.026743</f>
        <v>-3.1194569999999997</v>
      </c>
      <c r="E38" s="38"/>
      <c r="N38" s="24"/>
      <c r="P38" s="39"/>
      <c r="S38" s="38"/>
      <c r="T38" s="38"/>
    </row>
    <row r="39" spans="2:23">
      <c r="B39" s="24">
        <v>-0.65</v>
      </c>
      <c r="C39" s="38">
        <f t="shared" si="4"/>
        <v>32.934038338461541</v>
      </c>
      <c r="D39" s="38">
        <f>-21.40712492</f>
        <v>-21.407124920000001</v>
      </c>
      <c r="E39" s="38"/>
      <c r="S39" s="38"/>
      <c r="T39" s="38"/>
    </row>
    <row r="40" spans="2:23">
      <c r="B40" s="24">
        <v>-1.6148</v>
      </c>
      <c r="C40" s="38">
        <f t="shared" si="4"/>
        <v>46.861096439187513</v>
      </c>
      <c r="D40" s="38">
        <v>-75.671298530000001</v>
      </c>
      <c r="E40" s="38"/>
      <c r="S40" s="38"/>
      <c r="T40" s="38"/>
    </row>
    <row r="41" spans="2:23">
      <c r="B41" s="24">
        <v>-0.10879999999999999</v>
      </c>
      <c r="C41" s="38">
        <f t="shared" si="4"/>
        <v>58.381847426470586</v>
      </c>
      <c r="D41" s="38">
        <f>-6.4064+0.054455</f>
        <v>-6.3519449999999997</v>
      </c>
      <c r="E41" s="38"/>
      <c r="S41" s="38"/>
      <c r="T41" s="38"/>
    </row>
    <row r="42" spans="2:23">
      <c r="C42" s="38"/>
      <c r="D42" s="38"/>
      <c r="E42" s="38"/>
      <c r="S42" s="38"/>
      <c r="T42" s="38"/>
    </row>
    <row r="43" spans="2:23">
      <c r="B43" s="24">
        <f>(SUM(B5:B42))</f>
        <v>3.6698017910000007</v>
      </c>
      <c r="C43" s="38"/>
      <c r="D43" s="38">
        <f>(SUM(D5:D42))</f>
        <v>34.695659029999973</v>
      </c>
      <c r="E43" s="38"/>
      <c r="F43" t="s">
        <v>9</v>
      </c>
      <c r="G43" s="38">
        <f>(D43/B43)</f>
        <v>9.4543686569365359</v>
      </c>
      <c r="R43" s="24">
        <f>(SUM(R5:R36))</f>
        <v>3.6698017909999989</v>
      </c>
      <c r="S43" s="38"/>
      <c r="T43" s="38">
        <f>(SUM(T5:T36))</f>
        <v>34.693299469999999</v>
      </c>
      <c r="V43" t="s">
        <v>9</v>
      </c>
      <c r="W43" s="38">
        <f>(T43/R43)</f>
        <v>9.4537256903311615</v>
      </c>
    </row>
    <row r="44" spans="2:23">
      <c r="M44" s="24"/>
      <c r="S44" s="38"/>
      <c r="T44" s="38"/>
    </row>
    <row r="47" spans="2:23">
      <c r="N47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3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17 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3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U41" sqref="U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0.1023619995826513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0.95540003663933837</v>
      </c>
      <c r="K4" s="4">
        <f>(J4/D13-1)</f>
        <v>0.91080007327867674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0.23228377</v>
      </c>
      <c r="C6" s="40">
        <v>0</v>
      </c>
      <c r="D6" s="26">
        <f>(B6*C6)</f>
        <v>0</v>
      </c>
      <c r="E6" s="38">
        <f>(B6*J3)</f>
        <v>2.3777031167796669E-2</v>
      </c>
      <c r="G6" s="38"/>
      <c r="M6" t="s">
        <v>11</v>
      </c>
      <c r="N6" s="19">
        <f>($B$13/5)</f>
        <v>1.8667084280000001</v>
      </c>
      <c r="O6" s="35">
        <f>($C$5*Params!K8)</f>
        <v>7.1418695478700056E-2</v>
      </c>
      <c r="P6" s="38">
        <f>(O6*N6)</f>
        <v>0.13331788076685491</v>
      </c>
      <c r="Q6" s="38">
        <f>N6*$J$3</f>
        <v>0.19108000732786767</v>
      </c>
    </row>
    <row r="7" spans="2:17">
      <c r="C7" s="38"/>
      <c r="D7" s="38"/>
      <c r="E7" s="38"/>
      <c r="G7" s="38"/>
      <c r="N7" s="19">
        <f>($B$13/5)</f>
        <v>1.8667084280000001</v>
      </c>
      <c r="O7" s="35">
        <f>($C$5*Params!K9)</f>
        <v>8.7899932896861599E-2</v>
      </c>
      <c r="P7" s="38">
        <f>(O7*N7)</f>
        <v>0.16408354555920601</v>
      </c>
      <c r="Q7" s="38">
        <f>Q6*2</f>
        <v>0.38216001465573535</v>
      </c>
    </row>
    <row r="8" spans="2:17">
      <c r="C8" s="38"/>
      <c r="D8" s="38"/>
      <c r="E8" s="38"/>
      <c r="G8" s="38"/>
      <c r="N8" s="19">
        <f>($B$13/5)</f>
        <v>1.8667084280000001</v>
      </c>
      <c r="O8" s="35">
        <f>($C$5*Params!K10)</f>
        <v>0.12086240773318471</v>
      </c>
      <c r="P8" s="38">
        <f>(O8*N8)</f>
        <v>0.22561487514390829</v>
      </c>
      <c r="Q8" s="38">
        <f>Q6*3</f>
        <v>0.57324002198360302</v>
      </c>
    </row>
    <row r="9" spans="2:17">
      <c r="C9" s="38"/>
      <c r="D9" s="38"/>
      <c r="E9" s="38"/>
      <c r="G9" s="38"/>
      <c r="N9" s="19">
        <f>($B$13/5)</f>
        <v>1.8667084280000001</v>
      </c>
      <c r="O9" s="35">
        <f>($C$5*Params!K11)</f>
        <v>0.219749832242154</v>
      </c>
      <c r="P9" s="38">
        <f>(O9*N9)</f>
        <v>0.41020886389801503</v>
      </c>
      <c r="Q9" s="38">
        <f>Q6*4</f>
        <v>0.76432002931147069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0.93322516536798428</v>
      </c>
    </row>
    <row r="12" spans="2:17">
      <c r="C12" s="38"/>
      <c r="D12" s="38"/>
      <c r="E12" s="38"/>
      <c r="F12" t="s">
        <v>9</v>
      </c>
      <c r="G12" s="38">
        <f>(D13/B13)</f>
        <v>5.3570230090588089E-2</v>
      </c>
    </row>
    <row r="13" spans="2:17">
      <c r="B13">
        <f>(SUM(B5:B12))</f>
        <v>9.3335421400000005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6.2100916076255377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12.035715822813819</v>
      </c>
      <c r="K4" s="4">
        <f>(J4/D10-1)</f>
        <v>0.13974581655433882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2.48584E-3</v>
      </c>
      <c r="C6" s="40">
        <v>0</v>
      </c>
      <c r="D6" s="40">
        <f>(B6*C6)</f>
        <v>0</v>
      </c>
      <c r="E6" s="38">
        <f>(B6*J3)</f>
        <v>1.5437294121899866E-2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5.4486636559016173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1.9380899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L22" sqref="L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5">
        <v>0.62103739734776509</v>
      </c>
      <c r="M3" t="s">
        <v>4</v>
      </c>
      <c r="N3" s="19">
        <f>(INDEX(N5:N14,MATCH(MAX(O6:O7),O5:O14,0))/0.9)</f>
        <v>11.455515237037041</v>
      </c>
      <c r="O3" s="37">
        <f>(MAX(O6:O7)*0.85)</f>
        <v>0.48540838895304461</v>
      </c>
      <c r="P3" s="38">
        <f>(O3*N3)</f>
        <v>5.5606031958372046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19.208619093835306</v>
      </c>
      <c r="K4" s="4">
        <f>(J4/D14-1)</f>
        <v>7.2151925362725127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54.337165540000001</v>
      </c>
      <c r="S5" s="38">
        <f>(T5/R5)</f>
        <v>0.35150894990905707</v>
      </c>
      <c r="T5" s="38">
        <f>(SUM(D5:D7))</f>
        <v>19.100000000000001</v>
      </c>
    </row>
    <row r="6" spans="2:21">
      <c r="B6" s="20">
        <v>0.76215407000000002</v>
      </c>
      <c r="C6" s="40">
        <v>0</v>
      </c>
      <c r="D6" s="40">
        <f>(B6*C6)</f>
        <v>0</v>
      </c>
      <c r="E6" s="38">
        <f>(B6*J3)</f>
        <v>0.4733261800108064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1">
      <c r="B7" s="19">
        <v>1.46219147</v>
      </c>
      <c r="C7" s="38">
        <f>(D7/B7)</f>
        <v>0.34195248040942272</v>
      </c>
      <c r="D7" s="38">
        <v>0.5</v>
      </c>
      <c r="N7" s="19">
        <f>(B$14/3)</f>
        <v>10.309963713333337</v>
      </c>
      <c r="O7" s="38">
        <f>($C$5*Params!K9)</f>
        <v>0.57106869288593487</v>
      </c>
      <c r="P7" s="38">
        <f>(O7*N7)</f>
        <v>5.8876975014746877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  <c r="U7" s="39"/>
    </row>
    <row r="8" spans="2:21">
      <c r="B8">
        <v>-10.76</v>
      </c>
      <c r="C8" s="38">
        <f>(D8/B8)</f>
        <v>0.46958153903345723</v>
      </c>
      <c r="D8" s="38">
        <v>-5.0526973599999998</v>
      </c>
      <c r="N8" s="19">
        <f>(B$14/3)</f>
        <v>10.309963713333337</v>
      </c>
      <c r="O8" s="38">
        <f>($C$5*Params!K10)</f>
        <v>0.78521945271816052</v>
      </c>
      <c r="P8" s="38">
        <f>(O8*N8)</f>
        <v>8.0955840645276975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1">
      <c r="B9">
        <v>-21.72</v>
      </c>
      <c r="C9" s="39">
        <f>D9/B9</f>
        <v>0.77456361740331492</v>
      </c>
      <c r="D9" s="38">
        <v>-16.823521769999999</v>
      </c>
      <c r="N9" s="19">
        <f>(B$14/3)</f>
        <v>10.309963713333337</v>
      </c>
      <c r="O9" s="38">
        <f>($C$5*Params!K11)</f>
        <v>1.4276717322148371</v>
      </c>
      <c r="P9" s="38">
        <f>(O9*N9)</f>
        <v>14.719243753686719</v>
      </c>
    </row>
    <row r="10" spans="2:21">
      <c r="B10" s="19">
        <v>12.15260941</v>
      </c>
      <c r="C10" s="38">
        <f>D10/B10</f>
        <v>0.66076344010467125</v>
      </c>
      <c r="D10" s="38">
        <v>8.0299999999999994</v>
      </c>
    </row>
    <row r="11" spans="2:21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33.755222679689105</v>
      </c>
    </row>
    <row r="12" spans="2:21">
      <c r="B12" s="19">
        <v>-15.44</v>
      </c>
      <c r="C12" s="39">
        <f>D12/B12</f>
        <v>0.56901544106217616</v>
      </c>
      <c r="D12" s="38">
        <v>-8.7855984100000004</v>
      </c>
    </row>
    <row r="13" spans="2:21">
      <c r="F13" t="s">
        <v>9</v>
      </c>
      <c r="G13" s="38">
        <f>(D14/B14)</f>
        <v>7.559620722286188E-2</v>
      </c>
    </row>
    <row r="14" spans="2:21">
      <c r="B14" s="19">
        <f>(SUM(B5:B13))</f>
        <v>30.929891140000009</v>
      </c>
      <c r="D14" s="38">
        <f>(SUM(D5:D13))</f>
        <v>2.3381824600000005</v>
      </c>
    </row>
    <row r="18" spans="14:20">
      <c r="R18">
        <f>(SUM(R5:R17))</f>
        <v>30.929891140000009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P27" sqref="P2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0.1513450084840075</v>
      </c>
      <c r="M3" t="s">
        <v>4</v>
      </c>
      <c r="N3" s="29">
        <f>(INDEX(N5:N29,MATCH(MAX(O6:O8),O5:O29,0))/0.9)</f>
        <v>17.499576300000001</v>
      </c>
      <c r="O3" s="37">
        <f>(MAX(O6:O8)*0.85)</f>
        <v>0.11792713112298792</v>
      </c>
      <c r="P3" s="38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4.0768300317818875</v>
      </c>
      <c r="K4" s="4">
        <f>(J4/D14-1)</f>
        <v>-7.2401446631786852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Q8" t="s">
        <v>12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4*($R$5+$R$7)/5+B12-N7-N6</f>
        <v>13.415354599999992</v>
      </c>
      <c r="O9" s="38">
        <f>($C$5*Params!K11)</f>
        <v>0.25225054785665862</v>
      </c>
      <c r="P9" s="38">
        <f>(O9*N9)</f>
        <v>3.3840305475413435</v>
      </c>
      <c r="R9" s="24">
        <f>B12</f>
        <v>-15.856236790000001</v>
      </c>
      <c r="S9" s="38">
        <f>T9/R9</f>
        <v>0.13886598876907916</v>
      </c>
      <c r="T9" s="38">
        <f>D12</f>
        <v>-2.201892</v>
      </c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B12" s="19">
        <v>-15.856236790000001</v>
      </c>
      <c r="C12" s="35">
        <f>D12/B12</f>
        <v>0.13886598876907916</v>
      </c>
      <c r="D12" s="38">
        <v>-2.201892</v>
      </c>
      <c r="N12" s="29"/>
      <c r="O12" s="38"/>
      <c r="P12" s="38"/>
      <c r="R12" s="24"/>
      <c r="S12" s="38"/>
      <c r="T12" s="38"/>
    </row>
    <row r="13" spans="2:20">
      <c r="C13" s="38"/>
      <c r="D13" s="38"/>
      <c r="F13" t="s">
        <v>9</v>
      </c>
      <c r="G13" s="38">
        <f>(D14/B14)</f>
        <v>-2.4253445497353809E-2</v>
      </c>
      <c r="O13" s="38"/>
      <c r="P13" s="38">
        <f>(SUM(P6:P9))</f>
        <v>7.8466350134638709</v>
      </c>
      <c r="R13" s="24"/>
      <c r="S13" s="38"/>
      <c r="T13" s="38"/>
    </row>
    <row r="14" spans="2:20">
      <c r="B14" s="19">
        <f>(SUM(B5:B13))</f>
        <v>26.937327320000005</v>
      </c>
      <c r="C14" s="38"/>
      <c r="D14" s="38">
        <f>(SUM(D5:D13))</f>
        <v>-0.65332299999999988</v>
      </c>
      <c r="O14" s="38"/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2:22">
      <c r="R17" s="24"/>
      <c r="S17" s="38"/>
      <c r="T17" s="38"/>
    </row>
    <row r="18" spans="12:22">
      <c r="R18" s="24"/>
      <c r="S18" s="38"/>
      <c r="T18" s="38"/>
    </row>
    <row r="19" spans="12:22">
      <c r="R19" s="24"/>
      <c r="S19" s="38"/>
      <c r="T19" s="38"/>
    </row>
    <row r="20" spans="12:22">
      <c r="R20" s="24"/>
      <c r="S20" s="38"/>
      <c r="T20" s="38"/>
    </row>
    <row r="21" spans="12:22">
      <c r="R21" s="24"/>
      <c r="S21" s="38"/>
      <c r="T21" s="38"/>
    </row>
    <row r="22" spans="12:22">
      <c r="R22" s="24"/>
      <c r="S22" s="38"/>
      <c r="T22" s="38"/>
    </row>
    <row r="23" spans="12:22">
      <c r="R23" s="24"/>
      <c r="S23" s="38"/>
      <c r="T23" s="38"/>
    </row>
    <row r="24" spans="12:22">
      <c r="R24" s="24"/>
      <c r="S24" s="38"/>
      <c r="T24" s="38"/>
      <c r="V24" s="39"/>
    </row>
    <row r="26" spans="12:22">
      <c r="S26" s="38"/>
      <c r="T26" s="38"/>
    </row>
    <row r="27" spans="12:22">
      <c r="L27" s="39"/>
      <c r="M27" s="39"/>
      <c r="S27" s="38"/>
      <c r="T27" s="38"/>
    </row>
    <row r="28" spans="12:22">
      <c r="S28" s="38"/>
      <c r="T28" s="38"/>
    </row>
    <row r="29" spans="12:22">
      <c r="S29" s="38"/>
      <c r="T29" s="38"/>
    </row>
    <row r="30" spans="12:22">
      <c r="S30" s="38"/>
      <c r="T30" s="38"/>
    </row>
    <row r="31" spans="12:22">
      <c r="S31" s="38"/>
      <c r="T31" s="38"/>
    </row>
    <row r="32" spans="12:22">
      <c r="S32" s="38"/>
      <c r="T32" s="38"/>
    </row>
    <row r="33" spans="18:23">
      <c r="R33" s="24">
        <f>(SUM(R5:R31))</f>
        <v>26.937327320000005</v>
      </c>
      <c r="S33" s="38"/>
      <c r="T33" s="38">
        <f>(SUM(T5:T31))</f>
        <v>-0.65332299999999988</v>
      </c>
      <c r="V33" t="s">
        <v>9</v>
      </c>
      <c r="W33" s="38">
        <f>(T33/R33)</f>
        <v>-2.4253445497353809E-2</v>
      </c>
    </row>
    <row r="34" spans="18:23">
      <c r="S34" s="38"/>
      <c r="T34" s="38"/>
    </row>
    <row r="35" spans="18:23">
      <c r="S35" s="38"/>
      <c r="T35" s="38"/>
    </row>
    <row r="36" spans="18:23">
      <c r="S36" s="38"/>
      <c r="T36" s="38"/>
    </row>
    <row r="37" spans="18:23">
      <c r="S37" s="38"/>
      <c r="T37" s="38"/>
    </row>
  </sheetData>
  <conditionalFormatting sqref="C5 C9:C10 G13 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3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0.76443738427547836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2.2354587671470827</v>
      </c>
      <c r="K4" s="4">
        <f>(J4/D10-1)</f>
        <v>-0.25484707761763914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3.9855957053986733E-3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2.3889660658159646</v>
      </c>
      <c r="K4" s="4">
        <f>(J4/D10-1)</f>
        <v>-0.20367797806134513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F9" sqref="F9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0.35329950434553442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2.1494035245373624</v>
      </c>
      <c r="K4" s="4">
        <f>(J4/D9-1)</f>
        <v>-0.92554251735821036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707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3.6324983127406698E-3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(SUM(K34:K42)-C75*J3+D75)</f>
        <v>9.8140315417247326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-63.553999999999938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-259.13996845827518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-155.06996845827518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22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22">
      <c r="B34" s="8" t="s">
        <v>39</v>
      </c>
      <c r="C34">
        <v>6.2539999999999996</v>
      </c>
      <c r="D34">
        <f>$H$2</f>
        <v>707</v>
      </c>
      <c r="E34">
        <f t="shared" ref="E34:E40" si="1">C34*D34</f>
        <v>4421.5779999999995</v>
      </c>
      <c r="F34" s="29">
        <f t="shared" ref="F34:F40" si="2">E34*$N$5</f>
        <v>3683.1744739999995</v>
      </c>
      <c r="G34" s="38">
        <v>3.5</v>
      </c>
      <c r="H34" s="30">
        <f>G50</f>
        <v>1.5615590400000001</v>
      </c>
      <c r="I34" s="39">
        <f t="shared" ref="I34:I41" si="3">((F34-H34*D34)*$J$3-G34)</f>
        <v>5.8687661336567274</v>
      </c>
      <c r="J34">
        <v>1</v>
      </c>
      <c r="K34" s="44">
        <f t="shared" ref="K34:K40" si="4">I34*J34</f>
        <v>5.8687661336567274</v>
      </c>
      <c r="L34" s="31">
        <v>27</v>
      </c>
      <c r="M34" s="31">
        <f t="shared" ref="M34:M40" si="5">L34*J34</f>
        <v>27</v>
      </c>
    </row>
    <row r="35" spans="2:22">
      <c r="B35" s="8" t="s">
        <v>42</v>
      </c>
      <c r="C35">
        <v>0.96599999999999997</v>
      </c>
      <c r="D35">
        <f>$H$2</f>
        <v>707</v>
      </c>
      <c r="E35">
        <f t="shared" si="1"/>
        <v>682.96199999999999</v>
      </c>
      <c r="F35" s="29">
        <f t="shared" si="2"/>
        <v>568.90734599999996</v>
      </c>
      <c r="G35" s="38">
        <v>3.5</v>
      </c>
      <c r="H35" s="30">
        <f>G51</f>
        <v>0.21337130135885166</v>
      </c>
      <c r="I35" s="39">
        <f t="shared" si="3"/>
        <v>-1.9814201463157577</v>
      </c>
      <c r="J35">
        <v>1</v>
      </c>
      <c r="K35" s="44">
        <f t="shared" si="4"/>
        <v>-1.9814201463157577</v>
      </c>
      <c r="L35" s="31">
        <v>7.5</v>
      </c>
      <c r="M35" s="31">
        <f t="shared" si="5"/>
        <v>7.5</v>
      </c>
    </row>
    <row r="36" spans="2:22">
      <c r="B36" s="8" t="s">
        <v>44</v>
      </c>
      <c r="C36">
        <v>0.85099999999999998</v>
      </c>
      <c r="D36">
        <f>$H$2</f>
        <v>707</v>
      </c>
      <c r="E36">
        <f t="shared" si="1"/>
        <v>601.65700000000004</v>
      </c>
      <c r="F36" s="29">
        <f t="shared" si="2"/>
        <v>501.18028100000004</v>
      </c>
      <c r="G36" s="38">
        <v>3.5</v>
      </c>
      <c r="H36" s="30">
        <f>G52</f>
        <v>0.18479602162162162</v>
      </c>
      <c r="I36" s="39">
        <f t="shared" si="3"/>
        <v>-2.1540522392650074</v>
      </c>
      <c r="J36">
        <v>1</v>
      </c>
      <c r="K36" s="44">
        <f t="shared" si="4"/>
        <v>-2.1540522392650074</v>
      </c>
      <c r="L36" s="31">
        <v>5.85</v>
      </c>
      <c r="M36" s="31">
        <f t="shared" si="5"/>
        <v>5.85</v>
      </c>
    </row>
    <row r="37" spans="2:22">
      <c r="B37" s="8" t="s">
        <v>44</v>
      </c>
      <c r="C37">
        <v>0.85099999999999998</v>
      </c>
      <c r="D37">
        <f>$H$2-34</f>
        <v>673</v>
      </c>
      <c r="E37">
        <f t="shared" si="1"/>
        <v>572.72299999999996</v>
      </c>
      <c r="F37" s="29">
        <f t="shared" si="2"/>
        <v>477.07825899999995</v>
      </c>
      <c r="G37" s="38">
        <v>0</v>
      </c>
      <c r="H37" s="30">
        <f>G52</f>
        <v>0.18479602162162162</v>
      </c>
      <c r="I37" s="39">
        <f t="shared" si="3"/>
        <v>1.2812204285355726</v>
      </c>
      <c r="J37">
        <v>3</v>
      </c>
      <c r="K37" s="44">
        <f t="shared" si="4"/>
        <v>3.8436612856067178</v>
      </c>
      <c r="L37" s="31">
        <f>L36</f>
        <v>5.85</v>
      </c>
      <c r="M37" s="31">
        <f t="shared" si="5"/>
        <v>17.549999999999997</v>
      </c>
    </row>
    <row r="38" spans="2:22">
      <c r="B38" s="8" t="s">
        <v>44</v>
      </c>
      <c r="C38">
        <v>0.85099999999999998</v>
      </c>
      <c r="D38">
        <f>$H$2-34-58</f>
        <v>615</v>
      </c>
      <c r="E38">
        <f t="shared" si="1"/>
        <v>523.36500000000001</v>
      </c>
      <c r="F38" s="29">
        <f t="shared" si="2"/>
        <v>435.96304499999997</v>
      </c>
      <c r="G38" s="38">
        <v>0</v>
      </c>
      <c r="H38" s="30">
        <f>H37</f>
        <v>0.18479602162162162</v>
      </c>
      <c r="I38" s="39">
        <f t="shared" si="3"/>
        <v>1.1708032147836214</v>
      </c>
      <c r="J38">
        <v>1</v>
      </c>
      <c r="K38" s="44">
        <f t="shared" si="4"/>
        <v>1.1708032147836214</v>
      </c>
      <c r="L38" s="31">
        <f>L37</f>
        <v>5.85</v>
      </c>
      <c r="M38" s="31">
        <f t="shared" si="5"/>
        <v>5.85</v>
      </c>
    </row>
    <row r="39" spans="2:22">
      <c r="B39" s="8" t="s">
        <v>44</v>
      </c>
      <c r="C39">
        <v>0.85099999999999998</v>
      </c>
      <c r="D39">
        <f>$H$2-140</f>
        <v>567</v>
      </c>
      <c r="E39">
        <f t="shared" si="1"/>
        <v>482.517</v>
      </c>
      <c r="F39" s="29">
        <f t="shared" si="2"/>
        <v>401.93666099999996</v>
      </c>
      <c r="G39" s="38">
        <v>0</v>
      </c>
      <c r="H39" s="30">
        <f>H38</f>
        <v>0.18479602162162162</v>
      </c>
      <c r="I39" s="39">
        <f t="shared" si="3"/>
        <v>1.0794234516785581</v>
      </c>
      <c r="J39">
        <v>1</v>
      </c>
      <c r="K39" s="44">
        <f t="shared" si="4"/>
        <v>1.0794234516785581</v>
      </c>
      <c r="L39" s="31">
        <f>L38</f>
        <v>5.85</v>
      </c>
      <c r="M39" s="31">
        <f t="shared" si="5"/>
        <v>5.85</v>
      </c>
    </row>
    <row r="40" spans="2:22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0.15035444095883591</v>
      </c>
      <c r="J40" s="16">
        <v>1</v>
      </c>
      <c r="K40" s="46">
        <f t="shared" si="4"/>
        <v>0.15035444095883591</v>
      </c>
      <c r="L40" s="33">
        <v>0</v>
      </c>
      <c r="M40" s="33">
        <f t="shared" si="5"/>
        <v>0</v>
      </c>
      <c r="N40" t="s">
        <v>64</v>
      </c>
    </row>
    <row r="41" spans="2:22">
      <c r="B41" s="8" t="s">
        <v>44</v>
      </c>
      <c r="C41">
        <v>0.85099999999999998</v>
      </c>
      <c r="D41">
        <f>($H$2-274)</f>
        <v>433</v>
      </c>
      <c r="E41">
        <f>(C41*D41)</f>
        <v>368.483</v>
      </c>
      <c r="F41" s="29">
        <f>(E41*$N$5)</f>
        <v>306.94633899999997</v>
      </c>
      <c r="G41" s="38">
        <v>0</v>
      </c>
      <c r="H41" s="29">
        <f>(H37)</f>
        <v>0.18479602162162162</v>
      </c>
      <c r="I41" s="39">
        <f t="shared" si="3"/>
        <v>0.82432161301025686</v>
      </c>
      <c r="J41">
        <v>1</v>
      </c>
      <c r="K41" s="44">
        <f>(I41*J41)</f>
        <v>0.82432161301025686</v>
      </c>
      <c r="L41" s="31">
        <f>(L39)</f>
        <v>5.85</v>
      </c>
      <c r="M41" s="31">
        <f>(L41*J41)</f>
        <v>5.85</v>
      </c>
    </row>
    <row r="42" spans="2:22">
      <c r="B42" s="8" t="s">
        <v>46</v>
      </c>
      <c r="H42" s="21"/>
      <c r="J42">
        <v>2</v>
      </c>
      <c r="K42" s="44"/>
      <c r="L42" s="31">
        <v>13.5</v>
      </c>
      <c r="M42" s="31">
        <f>L42*J42</f>
        <v>27</v>
      </c>
    </row>
    <row r="43" spans="2:22">
      <c r="B43" s="8" t="s">
        <v>65</v>
      </c>
      <c r="J43">
        <v>1</v>
      </c>
      <c r="K43" s="9"/>
      <c r="L43" s="31">
        <v>0.38</v>
      </c>
      <c r="M43" s="31">
        <f>(L43*J43)</f>
        <v>0.38</v>
      </c>
    </row>
    <row r="44" spans="2:22">
      <c r="B44" s="8" t="s">
        <v>66</v>
      </c>
      <c r="J44">
        <v>1</v>
      </c>
      <c r="K44" s="9"/>
      <c r="L44" s="31">
        <v>0.24</v>
      </c>
      <c r="M44" s="31">
        <f>(L44*J44)</f>
        <v>0.24</v>
      </c>
    </row>
    <row r="45" spans="2:22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</v>
      </c>
      <c r="M45" s="31">
        <f>(L45*J45)</f>
        <v>1</v>
      </c>
      <c r="V45" s="39"/>
    </row>
    <row r="46" spans="2:22">
      <c r="L46" t="s">
        <v>34</v>
      </c>
      <c r="M46" s="31">
        <f>(SUM(M33:M45))</f>
        <v>104.06999999999998</v>
      </c>
      <c r="O46" s="31">
        <f>(J13+SUM(G34:G40)-D75)</f>
        <v>1.8342795417247331</v>
      </c>
      <c r="P46">
        <f>(O46/J3)</f>
        <v>504.96363213470966</v>
      </c>
    </row>
    <row r="48" spans="2:22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3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8"/>
      <c r="C73" s="19">
        <v>925.39</v>
      </c>
      <c r="D73" s="47">
        <v>3.1734</v>
      </c>
      <c r="E73" s="48">
        <f t="shared" si="7"/>
        <v>3.4292568538670182E-3</v>
      </c>
    </row>
    <row r="74" spans="2:5">
      <c r="B74" s="10"/>
      <c r="C74" s="11"/>
      <c r="D74" s="12"/>
    </row>
    <row r="75" spans="2:5">
      <c r="B75" t="s">
        <v>34</v>
      </c>
      <c r="C75" s="19">
        <f>(SUM(C56:C74))</f>
        <v>4808.6954785700009</v>
      </c>
      <c r="D75" s="38">
        <f>(SUM(D56:D74))</f>
        <v>18.479751999999998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tabSelected="1"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(-120/3)</f>
        <v>-40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0.39006241176440171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44.01054963811157</v>
      </c>
      <c r="K4" s="4">
        <f>(J4/D13-1)</f>
        <v>0.17080358601778012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0.68676252000000004</v>
      </c>
      <c r="C6" s="40">
        <v>0</v>
      </c>
      <c r="D6" s="40">
        <f>(B6*C6)</f>
        <v>0</v>
      </c>
      <c r="E6" s="38">
        <f>(B6*J3)</f>
        <v>0.26788024486059819</v>
      </c>
      <c r="M6" t="s">
        <v>11</v>
      </c>
      <c r="N6" s="1">
        <f>($B$13/5)</f>
        <v>22.565901410000002</v>
      </c>
      <c r="O6" s="38">
        <f>($S$7*Params!K8)</f>
        <v>0.44044312482164377</v>
      </c>
      <c r="P6" s="38">
        <f>(O6*N6)</f>
        <v>9.9389961314375377</v>
      </c>
      <c r="R6" s="2">
        <f>(B6)</f>
        <v>0.68676252000000004</v>
      </c>
      <c r="S6" s="40">
        <v>0</v>
      </c>
      <c r="T6" s="40">
        <f>(D6)</f>
        <v>0</v>
      </c>
      <c r="U6" s="38">
        <f>(R6*J3)</f>
        <v>0.26788024486059819</v>
      </c>
    </row>
    <row r="7" spans="2:21">
      <c r="B7" s="1">
        <v>109.50335533000001</v>
      </c>
      <c r="C7" s="38">
        <f>(D7/B7)</f>
        <v>0.33880240370895676</v>
      </c>
      <c r="D7" s="38">
        <v>37.1</v>
      </c>
      <c r="E7" t="s">
        <v>15</v>
      </c>
      <c r="N7" s="1">
        <f>($B$13/5)</f>
        <v>22.565901410000002</v>
      </c>
      <c r="O7" s="38">
        <f>($S$7*Params!K9)</f>
        <v>0.54208384593433079</v>
      </c>
      <c r="P7" s="38">
        <f>(O7*N7)</f>
        <v>12.232610623307739</v>
      </c>
      <c r="R7" s="29">
        <f>B7</f>
        <v>109.50335533000001</v>
      </c>
      <c r="S7" s="38">
        <f>(T7/R7)</f>
        <v>0.33880240370895676</v>
      </c>
      <c r="T7" s="38">
        <f>D7</f>
        <v>37.1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22.565901410000002</v>
      </c>
      <c r="O8" s="38">
        <f>($C$7*Params!K10)</f>
        <v>0.74536528815970493</v>
      </c>
      <c r="P8" s="38">
        <f>(O8*N8)</f>
        <v>16.819839607048145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22.565901410000002</v>
      </c>
      <c r="O9" s="38">
        <f>($C$7*Params!K11)</f>
        <v>1.355209614835827</v>
      </c>
      <c r="P9" s="38">
        <f>(O9*N9)</f>
        <v>30.581526558269349</v>
      </c>
    </row>
    <row r="10" spans="2:21">
      <c r="N10" s="1"/>
      <c r="P10" s="38"/>
    </row>
    <row r="11" spans="2:21">
      <c r="P11" s="38">
        <f>(SUM(P6:P9))</f>
        <v>69.572972920062767</v>
      </c>
    </row>
    <row r="12" spans="2:21">
      <c r="F12" t="s">
        <v>9</v>
      </c>
      <c r="G12" s="35">
        <f>(D13/B13)</f>
        <v>0.33315785535907827</v>
      </c>
    </row>
    <row r="13" spans="2:21">
      <c r="B13" s="1">
        <f>(SUM(B5:B12))</f>
        <v>112.82950705</v>
      </c>
      <c r="D13" s="38">
        <f>(SUM(D5:D12))</f>
        <v>37.590036590000004</v>
      </c>
      <c r="R13" s="1">
        <f>(SUM(R5:R12))</f>
        <v>112.82950705</v>
      </c>
      <c r="T13" s="38">
        <f>(SUM(T5:T12))</f>
        <v>37.590036590000004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0.13232862310149679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8.3761468358050273</v>
      </c>
      <c r="K4" s="4">
        <f>(J4/D14-1)</f>
        <v>-0.14754093524955891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">
        <v>0.55526337999999997</v>
      </c>
      <c r="C6" s="40">
        <v>0</v>
      </c>
      <c r="D6" s="40">
        <f>(B6*C6)</f>
        <v>0</v>
      </c>
      <c r="E6" s="38">
        <f>(B6*J3)</f>
        <v>7.3477238534083181E-2</v>
      </c>
      <c r="M6" t="s">
        <v>11</v>
      </c>
      <c r="N6" s="29">
        <f>($B$14/5)</f>
        <v>12.659614586</v>
      </c>
      <c r="O6" s="38">
        <f>($C$5*Params!K8)</f>
        <v>0.21940472231459929</v>
      </c>
      <c r="P6" s="38">
        <f>(O6*N6)</f>
        <v>2.7775792228511809</v>
      </c>
      <c r="R6" s="36">
        <f>(B6)</f>
        <v>0.55526337999999997</v>
      </c>
      <c r="S6" s="40">
        <v>0</v>
      </c>
      <c r="T6" s="40">
        <f>(D6)</f>
        <v>0</v>
      </c>
      <c r="U6" s="38">
        <f>(E6)</f>
        <v>7.3477238534083181E-2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12.659614586</v>
      </c>
      <c r="O7" s="38">
        <f>($C$5*Params!K9)</f>
        <v>0.27003658131027602</v>
      </c>
      <c r="P7" s="38">
        <f>(O7*N7)</f>
        <v>3.4185590435091453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12.659614586</v>
      </c>
      <c r="O8" s="38">
        <f>($C$5*Params!K10)</f>
        <v>0.37130029930162955</v>
      </c>
      <c r="P8" s="38">
        <f>(O8*N8)</f>
        <v>4.7005186848250755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12.659614586</v>
      </c>
      <c r="O9" s="38">
        <f>($C$5*Params!K11)</f>
        <v>0.67509145327569009</v>
      </c>
      <c r="P9" s="38">
        <f>(O9*N9)</f>
        <v>8.5463976087728639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19.443054559958266</v>
      </c>
    </row>
    <row r="13" spans="2:21">
      <c r="F13" t="s">
        <v>9</v>
      </c>
      <c r="G13" s="38">
        <f>(D14/B14)</f>
        <v>0.15523164521716504</v>
      </c>
    </row>
    <row r="14" spans="2:21">
      <c r="B14" s="29">
        <f>(SUM(B5:B13))</f>
        <v>63.298072930000004</v>
      </c>
      <c r="D14" s="38">
        <f>(SUM(D5:D13))</f>
        <v>9.8258639999999993</v>
      </c>
    </row>
    <row r="17" spans="11:20">
      <c r="N17" s="29"/>
      <c r="R17" s="29">
        <f>(SUM(R5:R16))</f>
        <v>63.298072930000004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2023-11-24T11:39:22Z</dcterms:modified>
</cp:coreProperties>
</file>