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0" activeTab="7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CE" sheetId="8" state="visible" r:id="rId8"/>
    <sheet name="ADA" sheetId="9" state="visible" r:id="rId9"/>
    <sheet name="ALGO" sheetId="10" state="visible" r:id="rId10"/>
    <sheet name="APE" sheetId="11" state="visible" r:id="rId11"/>
    <sheet name="ATOM" sheetId="12" state="visible" r:id="rId12"/>
    <sheet name="AVAX" sheetId="13" state="visible" r:id="rId13"/>
    <sheet name="AMP" sheetId="14" state="visible" r:id="rId14"/>
    <sheet name="BNB" sheetId="15" state="visible" r:id="rId15"/>
    <sheet name="DOGE" sheetId="16" state="visible" r:id="rId16"/>
    <sheet name="DOT" sheetId="17" state="visible" r:id="rId17"/>
    <sheet name="EGLD" sheetId="18" state="visible" r:id="rId18"/>
    <sheet name="ICP" sheetId="19" state="visible" r:id="rId19"/>
    <sheet name="LDO" sheetId="20" state="visible" r:id="rId20"/>
    <sheet name="LINK" sheetId="21" state="visible" r:id="rId21"/>
    <sheet name="LTC" sheetId="22" state="visible" r:id="rId22"/>
    <sheet name="LUNA" sheetId="23" state="visible" r:id="rId23"/>
    <sheet name="LUNC" sheetId="24" state="visible" r:id="rId24"/>
    <sheet name="MATIC" sheetId="25" state="visible" r:id="rId25"/>
    <sheet name="MEME" sheetId="26" state="visible" r:id="rId26"/>
    <sheet name="MINA" sheetId="27" state="visible" r:id="rId27"/>
    <sheet name="NEAR" sheetId="28" state="visible" r:id="rId28"/>
    <sheet name="SEI" sheetId="29" state="visible" r:id="rId29"/>
    <sheet name="SHIB" sheetId="30" state="visible" r:id="rId30"/>
    <sheet name="SOL" sheetId="31" state="visible" r:id="rId31"/>
    <sheet name="TRX" sheetId="32" state="visible" r:id="rId32"/>
    <sheet name="UNI" sheetId="33" state="visible" r:id="rId33"/>
    <sheet name="XRP" sheetId="34" state="visible" r:id="rId34"/>
    <sheet name="GRT" sheetId="35" state="visible" r:id="rId35"/>
    <sheet name="KAVA" sheetId="36" state="visible" r:id="rId36"/>
    <sheet name="SHPING" sheetId="37" state="visible" r:id="rId37"/>
    <sheet name="Param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4">
    <numFmt numFmtId="164" formatCode="0.0000"/>
    <numFmt numFmtId="165" formatCode="_(&quot;$&quot;* #,##0.00_);_(&quot;$&quot;* \(#,##0.00\);_(&quot;$&quot;* &quot;-&quot;??_);_(@_)"/>
    <numFmt numFmtId="166" formatCode="_([$$-409]* #,##0.00_);_([$$-409]* \(#,##0.00\);_([$$-409]* &quot;-&quot;??_);_(@_)"/>
    <numFmt numFmtId="167" formatCode="0.00000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85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7" fontId="0" fillId="0" borderId="0" pivotButton="0" quotePrefix="0" xfId="1"/>
    <xf numFmtId="172" fontId="0" fillId="0" borderId="0" pivotButton="0" quotePrefix="0" xfId="0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7" fontId="0" fillId="0" borderId="0" pivotButton="0" quotePrefix="0" xfId="1"/>
    <xf numFmtId="172" fontId="0" fillId="0" borderId="0" pivotButton="0" quotePrefix="0" xfId="0"/>
  </cellXfs>
  <cellStyles count="3">
    <cellStyle name="Normal" xfId="0" builtinId="0"/>
    <cellStyle name="Monétaire" xfId="1" builtinId="4"/>
    <cellStyle name="Pourcentage" xfId="2" builtinId="5"/>
  </cellStyles>
  <dxfs count="29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77000704"/>
        <axId val="77002624"/>
      </lineChart>
      <dateAx>
        <axId val="77000704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7002624"/>
        <crosses val="autoZero"/>
        <lblOffset val="100"/>
      </dateAx>
      <valAx>
        <axId val="77002624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7000704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3"/>
  <sheetViews>
    <sheetView workbookViewId="0">
      <selection activeCell="K41" sqref="K41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2253.220608861788</v>
      </c>
      <c r="M3" t="inlineStr">
        <is>
          <t>Objectif :</t>
        </is>
      </c>
      <c r="N3">
        <f>(INDEX(N5:N29,MATCH(MAX(O18,O10),O5:O29,0))/0.9)</f>
        <v/>
      </c>
      <c r="O3" s="55">
        <f>(MAX(O18,O10)*0.85)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(B43*J3)</f>
        <v/>
      </c>
      <c r="K4" s="4">
        <f>(J4/D43-1)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7" t="n">
        <v>0.25</v>
      </c>
      <c r="C5" s="55" t="n">
        <v>4000</v>
      </c>
      <c r="D5" s="56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57">
        <f>(B5)</f>
        <v/>
      </c>
      <c r="S5" s="55" t="n">
        <v>4000</v>
      </c>
      <c r="T5" s="56">
        <f>(R5*S5)</f>
        <v/>
      </c>
    </row>
    <row r="6">
      <c r="B6" s="57" t="n">
        <v>0.0005999999999999999</v>
      </c>
      <c r="C6" s="55" t="n">
        <v>3950</v>
      </c>
      <c r="D6" s="56">
        <f>B6*C6</f>
        <v/>
      </c>
      <c r="M6" t="inlineStr">
        <is>
          <t>Objectif :</t>
        </is>
      </c>
      <c r="N6" s="55">
        <f>(MIN(C5,C6,C7,C18:C25)*2)</f>
        <v/>
      </c>
      <c r="O6">
        <f>(INDEX(B5:B25,MATCH(N6/2,C5:C25,0)))</f>
        <v/>
      </c>
      <c r="P6" s="56">
        <f>(N6*O6/2)</f>
        <v/>
      </c>
      <c r="R6" s="57">
        <f>(B6)</f>
        <v/>
      </c>
      <c r="S6" s="55" t="n">
        <v>3950</v>
      </c>
      <c r="T6" s="56">
        <f>(R6*S6)</f>
        <v/>
      </c>
    </row>
    <row r="7">
      <c r="B7" s="57" t="n">
        <v>0.0034</v>
      </c>
      <c r="C7" s="55" t="n">
        <v>3428</v>
      </c>
      <c r="D7" s="56">
        <f>B7*C7</f>
        <v/>
      </c>
      <c r="F7" t="inlineStr">
        <is>
          <t>Moy</t>
        </is>
      </c>
      <c r="G7" s="54">
        <f>(D43/B43)</f>
        <v/>
      </c>
      <c r="R7" s="57">
        <f>(B7)</f>
        <v/>
      </c>
      <c r="S7" s="55" t="n">
        <v>3428</v>
      </c>
      <c r="T7" s="56">
        <f>(R7*S7)</f>
        <v/>
      </c>
    </row>
    <row r="8">
      <c r="B8" s="57" t="n">
        <v>-0.0076</v>
      </c>
      <c r="C8" s="54" t="n">
        <v>3216.89</v>
      </c>
      <c r="D8" s="56">
        <f>B8*C8</f>
        <v/>
      </c>
      <c r="R8" s="57">
        <f>(B11+B10+B9+B8)</f>
        <v/>
      </c>
      <c r="S8" s="54" t="n">
        <v>0</v>
      </c>
      <c r="T8" s="56">
        <f>(D11+D10+D9+D8)</f>
        <v/>
      </c>
    </row>
    <row r="9">
      <c r="B9" s="57" t="n">
        <v>-0.0076</v>
      </c>
      <c r="C9" s="54" t="n">
        <v>3214.67</v>
      </c>
      <c r="D9" s="56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57">
        <f>(B12)</f>
        <v/>
      </c>
      <c r="S9" s="54" t="n">
        <v>0</v>
      </c>
      <c r="T9" s="56">
        <f>(R9*S9)</f>
        <v/>
      </c>
    </row>
    <row r="10">
      <c r="B10" s="57" t="n">
        <v>-0.0076</v>
      </c>
      <c r="C10" s="54" t="n">
        <v>3213.16</v>
      </c>
      <c r="D10" s="56">
        <f>B10*C10</f>
        <v/>
      </c>
      <c r="M10" t="inlineStr">
        <is>
          <t>Objectif</t>
        </is>
      </c>
      <c r="N10">
        <f>(-B39)</f>
        <v/>
      </c>
      <c r="O10" s="55">
        <f>(C39)</f>
        <v/>
      </c>
      <c r="P10" s="56">
        <f>(O10*N10)</f>
        <v/>
      </c>
      <c r="Q10" t="inlineStr">
        <is>
          <t>Done</t>
        </is>
      </c>
      <c r="R10" s="57">
        <f>(SUM(B13:B20))</f>
        <v/>
      </c>
      <c r="S10" s="55">
        <f>(T10/R10)</f>
        <v/>
      </c>
      <c r="T10" s="56">
        <f>(SUM(D13:D20))</f>
        <v/>
      </c>
    </row>
    <row r="11">
      <c r="B11" s="57" t="n">
        <v>0.0243</v>
      </c>
      <c r="C11" s="55" t="n">
        <v>3010</v>
      </c>
      <c r="D11" s="56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5">
        <f>($S$18*Params!K16)</f>
        <v/>
      </c>
      <c r="P11" s="56">
        <f>(O11*N11)</f>
        <v/>
      </c>
      <c r="R11" s="57">
        <f>(B21)</f>
        <v/>
      </c>
      <c r="S11" s="55" t="n">
        <v>1895</v>
      </c>
      <c r="T11" s="56">
        <f>(R11*S11)</f>
        <v/>
      </c>
    </row>
    <row r="12">
      <c r="B12" s="58" t="n">
        <v>0.00649755</v>
      </c>
      <c r="C12" s="59" t="n">
        <v>0</v>
      </c>
      <c r="D12" s="60">
        <f>B12*C12</f>
        <v/>
      </c>
      <c r="E12" s="54">
        <f>(B12*J3)</f>
        <v/>
      </c>
      <c r="I12" t="inlineStr">
        <is>
          <t>Difference</t>
        </is>
      </c>
      <c r="J12">
        <f>(J11-B43)</f>
        <v/>
      </c>
      <c r="N12">
        <f>($B$35/5)</f>
        <v/>
      </c>
      <c r="O12" s="55">
        <f>($S$18*Params!K17)</f>
        <v/>
      </c>
      <c r="P12" s="56">
        <f>(O12*N12)</f>
        <v/>
      </c>
      <c r="R12" s="57">
        <f>(B22)</f>
        <v/>
      </c>
      <c r="S12" s="55" t="n">
        <v>1890.15</v>
      </c>
      <c r="T12" s="56">
        <f>(R12*S12)</f>
        <v/>
      </c>
    </row>
    <row r="13">
      <c r="B13" s="57" t="n">
        <v>-0.008</v>
      </c>
      <c r="C13" s="54" t="n">
        <v>2340</v>
      </c>
      <c r="D13" s="56">
        <f>B13*C13</f>
        <v/>
      </c>
      <c r="I13" t="inlineStr">
        <is>
          <t>Diff in $</t>
        </is>
      </c>
      <c r="J13" s="54">
        <f>(J12*J3)</f>
        <v/>
      </c>
      <c r="N13">
        <f>($B$35/5)</f>
        <v/>
      </c>
      <c r="O13" s="55">
        <f>($S$18*Params!K18)</f>
        <v/>
      </c>
      <c r="P13" s="56">
        <f>(O13*N13)</f>
        <v/>
      </c>
      <c r="R13" s="57">
        <f>(B23)</f>
        <v/>
      </c>
      <c r="S13" s="55">
        <f>(T13/R13)</f>
        <v/>
      </c>
      <c r="T13" s="56">
        <f>(82.1)</f>
        <v/>
      </c>
    </row>
    <row r="14">
      <c r="B14" s="57" t="n">
        <v>-0.01</v>
      </c>
      <c r="C14" s="54" t="n">
        <v>2263</v>
      </c>
      <c r="D14" s="56">
        <f>B14*C14</f>
        <v/>
      </c>
      <c r="R14" s="57">
        <f>(B24)</f>
        <v/>
      </c>
      <c r="S14" s="55" t="n">
        <v>1709</v>
      </c>
      <c r="T14" s="56">
        <f>(S14*R14)</f>
        <v/>
      </c>
    </row>
    <row r="15">
      <c r="B15" s="57" t="n">
        <v>-0.008999999999999999</v>
      </c>
      <c r="C15" s="54" t="n">
        <v>2114</v>
      </c>
      <c r="D15" s="56">
        <f>B15*C15</f>
        <v/>
      </c>
      <c r="P15" s="56">
        <f>(SUM(P10:P13))</f>
        <v/>
      </c>
      <c r="R15" s="57">
        <f>(B25)</f>
        <v/>
      </c>
      <c r="S15" s="55" t="n">
        <v>1617.3</v>
      </c>
      <c r="T15" s="56">
        <f>(S15*R15)</f>
        <v/>
      </c>
    </row>
    <row r="16">
      <c r="B16" s="57" t="n">
        <v>-0.008</v>
      </c>
      <c r="C16" s="54" t="n">
        <v>2027.47</v>
      </c>
      <c r="D16" s="56">
        <f>B16*C16</f>
        <v/>
      </c>
      <c r="R16" s="57">
        <f>(SUM(B26:B33))</f>
        <v/>
      </c>
      <c r="S16" s="54" t="n">
        <v>0</v>
      </c>
      <c r="T16" s="56">
        <f>(SUM(D26:D33))</f>
        <v/>
      </c>
    </row>
    <row r="17">
      <c r="B17" s="57" t="n">
        <v>-0.008200000000000001</v>
      </c>
      <c r="C17" s="54" t="n">
        <v>1961</v>
      </c>
      <c r="D17" s="56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57">
        <f>(B34)</f>
        <v/>
      </c>
      <c r="S17" s="54">
        <f>(T17/R17)</f>
        <v/>
      </c>
      <c r="T17" s="56" t="n">
        <v>-12.19326523</v>
      </c>
    </row>
    <row r="18">
      <c r="B18" s="57" t="n">
        <v>0.016</v>
      </c>
      <c r="C18" s="55">
        <f>1/0.00048218</f>
        <v/>
      </c>
      <c r="D18" s="56">
        <f>B18*C18</f>
        <v/>
      </c>
      <c r="M18" t="inlineStr">
        <is>
          <t>Objectif</t>
        </is>
      </c>
      <c r="N18">
        <f>(-B38)</f>
        <v/>
      </c>
      <c r="O18" s="55">
        <f>(C38)</f>
        <v/>
      </c>
      <c r="P18" s="56">
        <f>(O18*N18)</f>
        <v/>
      </c>
      <c r="Q18" t="inlineStr">
        <is>
          <t>Done</t>
        </is>
      </c>
      <c r="R18" s="57">
        <f>(B35+B39)</f>
        <v/>
      </c>
      <c r="S18" s="55">
        <f>(T18/R18)</f>
        <v/>
      </c>
      <c r="T18" s="56">
        <f>(D35+1283.68*B39)</f>
        <v/>
      </c>
      <c r="U18" t="inlineStr">
        <is>
          <t>DCA1</t>
        </is>
      </c>
    </row>
    <row r="19">
      <c r="B19" s="57" t="n">
        <v>0.012</v>
      </c>
      <c r="C19" s="55">
        <f>1/0.0008564</f>
        <v/>
      </c>
      <c r="D19" s="56">
        <f>B19*C19</f>
        <v/>
      </c>
      <c r="N19">
        <f>(2*($R$19+N18)/5-N18)</f>
        <v/>
      </c>
      <c r="O19" s="55">
        <f>($S$19*Params!K16)</f>
        <v/>
      </c>
      <c r="P19" s="56">
        <f>(O19*N19)</f>
        <v/>
      </c>
      <c r="R19" s="57">
        <f>(B36+B38)</f>
        <v/>
      </c>
      <c r="S19" s="55">
        <f>(T19/R19)</f>
        <v/>
      </c>
      <c r="T19" s="56">
        <f>(D36+1269.75*B38)</f>
        <v/>
      </c>
      <c r="U19" t="inlineStr">
        <is>
          <t>DCA2</t>
        </is>
      </c>
    </row>
    <row r="20">
      <c r="B20" s="57" t="n">
        <v>0.03210429</v>
      </c>
      <c r="C20" s="55">
        <f>D20/B20</f>
        <v/>
      </c>
      <c r="D20" s="56" t="n">
        <v>50</v>
      </c>
      <c r="N20">
        <f>($B$36/5)</f>
        <v/>
      </c>
      <c r="O20" s="55">
        <f>($S$19*Params!K17)</f>
        <v/>
      </c>
      <c r="P20" s="56">
        <f>(O20*N20)</f>
        <v/>
      </c>
      <c r="R20" s="57">
        <f>(B37)</f>
        <v/>
      </c>
      <c r="S20" s="55">
        <f>(C37)</f>
        <v/>
      </c>
      <c r="T20" s="56">
        <f>(D37)</f>
        <v/>
      </c>
    </row>
    <row r="21">
      <c r="B21" s="57" t="n">
        <v>0.01</v>
      </c>
      <c r="C21" s="55" t="n">
        <v>1895</v>
      </c>
      <c r="D21" s="56">
        <f>B21*C21</f>
        <v/>
      </c>
      <c r="N21">
        <f>($B$36/5)</f>
        <v/>
      </c>
      <c r="O21" s="55">
        <f>($S$19*Params!K18)</f>
        <v/>
      </c>
      <c r="P21" s="56">
        <f>(O21*N21)</f>
        <v/>
      </c>
      <c r="R21" s="57">
        <f>(B38-B38)</f>
        <v/>
      </c>
      <c r="S21" s="54" t="n">
        <v>0</v>
      </c>
      <c r="T21" s="56">
        <f>(1269.75*-B38+D38)</f>
        <v/>
      </c>
      <c r="U21" t="inlineStr">
        <is>
          <t>DCA2 1/5</t>
        </is>
      </c>
    </row>
    <row r="22">
      <c r="B22" s="57" t="n">
        <v>0.01</v>
      </c>
      <c r="C22" s="55" t="n">
        <v>1890.15</v>
      </c>
      <c r="D22" s="56">
        <f>B22*C22</f>
        <v/>
      </c>
      <c r="R22" s="57">
        <f>(B39-B39)</f>
        <v/>
      </c>
      <c r="S22" s="54" t="n">
        <v>0</v>
      </c>
      <c r="T22" s="56">
        <f>(1283.68*-B39+D39)</f>
        <v/>
      </c>
      <c r="U22" t="inlineStr">
        <is>
          <t>DCA1 1/5</t>
        </is>
      </c>
    </row>
    <row r="23">
      <c r="B23" s="57">
        <f>0.05-0.00005</f>
        <v/>
      </c>
      <c r="C23" s="55">
        <f>D23/B23</f>
        <v/>
      </c>
      <c r="D23" s="56">
        <f>82.1</f>
        <v/>
      </c>
      <c r="P23" s="56">
        <f>(SUM(P18:P21))</f>
        <v/>
      </c>
      <c r="R23" s="57">
        <f>(B40)</f>
        <v/>
      </c>
      <c r="S23" s="55">
        <f>(T23/R23)</f>
        <v/>
      </c>
      <c r="T23" s="56">
        <f>(D40)</f>
        <v/>
      </c>
      <c r="U23" t="inlineStr">
        <is>
          <t>DCA3</t>
        </is>
      </c>
    </row>
    <row r="24">
      <c r="B24" s="57" t="n">
        <v>0.01</v>
      </c>
      <c r="C24" s="55" t="n">
        <v>1709</v>
      </c>
      <c r="D24" s="56">
        <f>C24*B24</f>
        <v/>
      </c>
    </row>
    <row r="25">
      <c r="B25" s="57" t="n">
        <v>0.01</v>
      </c>
      <c r="C25" s="55" t="n">
        <v>1617.3</v>
      </c>
      <c r="D25" s="56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57" t="n">
        <v>-0.01</v>
      </c>
      <c r="C26" s="54" t="n">
        <v>1530</v>
      </c>
      <c r="D26" s="56">
        <f>(C26*B26)</f>
        <v/>
      </c>
      <c r="M26" t="inlineStr">
        <is>
          <t>Objectif</t>
        </is>
      </c>
      <c r="N26" s="57">
        <f>($R$20/5)</f>
        <v/>
      </c>
      <c r="O26" s="55">
        <f>($S$20*Params!K15)</f>
        <v/>
      </c>
      <c r="P26" s="56">
        <f>(O26*N26)</f>
        <v/>
      </c>
    </row>
    <row r="27">
      <c r="B27" s="57" t="n">
        <v>0.01</v>
      </c>
      <c r="C27" s="55" t="n">
        <v>1500</v>
      </c>
      <c r="D27" s="56">
        <f>(C27*B27)</f>
        <v/>
      </c>
      <c r="N27" s="57">
        <f>($R$20/5)</f>
        <v/>
      </c>
      <c r="O27" s="55">
        <f>($S$20*Params!K16)</f>
        <v/>
      </c>
      <c r="P27" s="56">
        <f>(O27*N27)</f>
        <v/>
      </c>
    </row>
    <row r="28">
      <c r="B28" s="57" t="n">
        <v>-0.01</v>
      </c>
      <c r="C28" s="54">
        <f>(D28/B28)</f>
        <v/>
      </c>
      <c r="D28" s="56" t="n">
        <v>-14.43</v>
      </c>
      <c r="N28" s="57">
        <f>($R$20/5)</f>
        <v/>
      </c>
      <c r="O28" s="55">
        <f>($S$20*Params!K17)</f>
        <v/>
      </c>
      <c r="P28" s="56">
        <f>(O28*N28)</f>
        <v/>
      </c>
    </row>
    <row r="29">
      <c r="B29" s="57" t="n">
        <v>0.01</v>
      </c>
      <c r="C29" s="55" t="n">
        <v>1428.89</v>
      </c>
      <c r="D29" s="56">
        <f>(C29*B29)</f>
        <v/>
      </c>
      <c r="N29" s="57">
        <f>($R$20/5)</f>
        <v/>
      </c>
      <c r="O29" s="55">
        <f>($S$20*Params!K18)</f>
        <v/>
      </c>
      <c r="P29" s="56">
        <f>(O29*N29)</f>
        <v/>
      </c>
    </row>
    <row r="30">
      <c r="B30" s="57" t="n">
        <v>-0.01</v>
      </c>
      <c r="C30" s="54" t="n">
        <v>1402.5</v>
      </c>
      <c r="D30" s="56">
        <f>(C30*B30)</f>
        <v/>
      </c>
    </row>
    <row r="31">
      <c r="B31" s="57" t="n">
        <v>0.01</v>
      </c>
      <c r="C31" s="55" t="n">
        <v>1372</v>
      </c>
      <c r="D31" s="56">
        <f>(C31*B31)</f>
        <v/>
      </c>
      <c r="P31" s="56">
        <f>(SUM(P26:P29))</f>
        <v/>
      </c>
    </row>
    <row r="32">
      <c r="B32" s="57" t="n">
        <v>-0.01</v>
      </c>
      <c r="C32" s="54" t="n">
        <v>1286.66</v>
      </c>
      <c r="D32" s="56">
        <f>(C32*B32)</f>
        <v/>
      </c>
      <c r="R32">
        <f>(SUM(R5:R31))</f>
        <v/>
      </c>
      <c r="T32" s="56">
        <f>(SUM(T5:T31))</f>
        <v/>
      </c>
    </row>
    <row r="33">
      <c r="B33" s="57" t="n">
        <v>0.01</v>
      </c>
      <c r="C33" s="55" t="n">
        <v>1250</v>
      </c>
      <c r="D33" s="56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57" t="n">
        <v>-0.01</v>
      </c>
      <c r="C34" s="54">
        <f>(D34/B34)</f>
        <v/>
      </c>
      <c r="D34" s="56" t="n">
        <v>-12.19326523</v>
      </c>
      <c r="M34" t="inlineStr">
        <is>
          <t>Objectif</t>
        </is>
      </c>
      <c r="N34">
        <f>($R$23/5)</f>
        <v/>
      </c>
      <c r="O34" s="55">
        <f>($S$23*Params!K15)</f>
        <v/>
      </c>
      <c r="P34" s="56">
        <f>(O34*N34)</f>
        <v/>
      </c>
    </row>
    <row r="35">
      <c r="B35" s="57" t="n">
        <v>0.11398033</v>
      </c>
      <c r="C35" s="55">
        <f>(D35/B35)</f>
        <v/>
      </c>
      <c r="D35" s="56" t="n">
        <v>190.17</v>
      </c>
      <c r="E35" t="inlineStr">
        <is>
          <t>DCA1</t>
        </is>
      </c>
      <c r="N35">
        <f>($R$23/5)</f>
        <v/>
      </c>
      <c r="O35" s="55">
        <f>($S$23*Params!K16)</f>
        <v/>
      </c>
      <c r="P35" s="56">
        <f>(O35*N35)</f>
        <v/>
      </c>
    </row>
    <row r="36">
      <c r="B36" s="57" t="n">
        <v>0.02315711</v>
      </c>
      <c r="C36" s="55">
        <f>(D36/B36)</f>
        <v/>
      </c>
      <c r="D36" s="56" t="n">
        <v>39.5</v>
      </c>
      <c r="E36" t="inlineStr">
        <is>
          <t>DCA2</t>
        </is>
      </c>
      <c r="N36">
        <f>($R$23/5)</f>
        <v/>
      </c>
      <c r="O36" s="55">
        <f>($S$23*Params!K17)</f>
        <v/>
      </c>
      <c r="P36" s="56">
        <f>(O36*N36)</f>
        <v/>
      </c>
    </row>
    <row r="37">
      <c r="B37" s="57" t="n">
        <v>0.00041228</v>
      </c>
      <c r="C37" s="55">
        <f>(D37/B37)</f>
        <v/>
      </c>
      <c r="D37" s="56" t="n">
        <v>0.5</v>
      </c>
      <c r="N37">
        <f>($R$23/5)</f>
        <v/>
      </c>
      <c r="O37" s="55">
        <f>($S$23*Params!K18)</f>
        <v/>
      </c>
      <c r="P37" s="56">
        <f>(O37*N37)</f>
        <v/>
      </c>
    </row>
    <row r="38">
      <c r="B38" s="57">
        <f>(-0.000705)</f>
        <v/>
      </c>
      <c r="C38" s="54" t="n">
        <v>1605</v>
      </c>
      <c r="D38" s="56">
        <f>(C38*B38)</f>
        <v/>
      </c>
    </row>
    <row r="39">
      <c r="B39" s="57">
        <f>(-0.00535-B38)</f>
        <v/>
      </c>
      <c r="C39" s="54" t="n">
        <v>1605</v>
      </c>
      <c r="D39" s="56">
        <f>(C39*B39)</f>
        <v/>
      </c>
      <c r="P39" s="56">
        <f>(SUM(P34:P37))</f>
        <v/>
      </c>
    </row>
    <row r="40">
      <c r="B40" s="57" t="n">
        <v>0.05297701</v>
      </c>
      <c r="C40" s="55">
        <f>(D40/B40)</f>
        <v/>
      </c>
      <c r="D40" s="56" t="n">
        <v>97.65000000000001</v>
      </c>
      <c r="E40" t="inlineStr">
        <is>
          <t>DCA3</t>
        </is>
      </c>
    </row>
    <row r="41">
      <c r="B41" s="57" t="n">
        <v>0.0203796</v>
      </c>
      <c r="C41" s="55" t="n">
        <v>2275</v>
      </c>
      <c r="D41" s="56">
        <f>C41*B41</f>
        <v/>
      </c>
      <c r="E41" t="inlineStr">
        <is>
          <t>0.00108507 BTC 0.05319 ratio</t>
        </is>
      </c>
    </row>
    <row r="42">
      <c r="F42" t="inlineStr">
        <is>
          <t>Moy</t>
        </is>
      </c>
      <c r="G42" s="55">
        <f>D43/B43</f>
        <v/>
      </c>
    </row>
    <row r="43">
      <c r="B43">
        <f>(SUM(B5:B42))</f>
        <v/>
      </c>
      <c r="D43" s="56">
        <f>(SUM(D5:D42))</f>
        <v/>
      </c>
    </row>
  </sheetData>
  <conditionalFormatting sqref="C5:C7 C11 C18:C25 C27 C29 C31 C33 C35:C37 C40:C41 N6 O11:O13 O19:O21 O26:O29 O34:O37 S5:S7 S10:S15 S18:S20 S23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78"/>
  <sheetViews>
    <sheetView workbookViewId="0">
      <selection activeCell="G30" sqref="G30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4" t="n">
        <v>43143.541974765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(B38*J3)</f>
        <v/>
      </c>
      <c r="K4" s="4">
        <f>(J4/D38-1)</f>
        <v/>
      </c>
      <c r="L4" t="inlineStr">
        <is>
          <t>Objectif :</t>
        </is>
      </c>
      <c r="M4">
        <f>(INDEX((M9:M68),MATCH(N4/0.85,N9:N68,0))/0.9)</f>
        <v/>
      </c>
      <c r="N4" s="55">
        <f>(MAX(N9,N17:N19,N49,N25,N33,N41,N57,N65)*0.85)</f>
        <v/>
      </c>
      <c r="O4" s="61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7" t="n">
        <v>0.00399983</v>
      </c>
      <c r="C5" s="54" t="n">
        <v>41500</v>
      </c>
      <c r="D5" s="54">
        <f>(B5*C5)</f>
        <v/>
      </c>
      <c r="R5" s="57">
        <f>(B5)</f>
        <v/>
      </c>
      <c r="S5" s="54" t="n">
        <v>41500</v>
      </c>
      <c r="T5" s="54">
        <f>(R5*S5)</f>
        <v/>
      </c>
    </row>
    <row r="6">
      <c r="B6" s="58" t="n">
        <v>0.00034976</v>
      </c>
      <c r="C6" s="59" t="n">
        <v>0</v>
      </c>
      <c r="D6" s="60">
        <f>(B6*C6)</f>
        <v/>
      </c>
      <c r="E6" s="54">
        <f>(B6*J3)</f>
        <v/>
      </c>
      <c r="I6" t="inlineStr">
        <is>
          <t>Objectif</t>
        </is>
      </c>
      <c r="J6" t="n">
        <v>0.03</v>
      </c>
      <c r="R6" s="57">
        <f>(B6)</f>
        <v/>
      </c>
      <c r="S6" s="54" t="n">
        <v>0</v>
      </c>
      <c r="T6" s="54">
        <f>(R6*S6)</f>
        <v/>
      </c>
    </row>
    <row r="7">
      <c r="B7" s="57" t="n">
        <v>0.00051073</v>
      </c>
      <c r="C7" s="54">
        <f>D7/B7</f>
        <v/>
      </c>
      <c r="D7" s="54" t="n">
        <v>15.6</v>
      </c>
      <c r="I7" t="inlineStr">
        <is>
          <t>Difference</t>
        </is>
      </c>
      <c r="J7" s="62">
        <f>(J6-B38)</f>
        <v/>
      </c>
      <c r="R7" s="57">
        <f>(B7)</f>
        <v/>
      </c>
      <c r="S7" s="54">
        <f>(T7/R7)</f>
        <v/>
      </c>
      <c r="T7" s="54" t="inlineStr">
        <is>
          <t>15.6</t>
        </is>
      </c>
    </row>
    <row r="8">
      <c r="B8" s="57" t="n">
        <v>0.00491083</v>
      </c>
      <c r="C8" s="54">
        <f>D8/B8</f>
        <v/>
      </c>
      <c r="D8" s="54" t="n">
        <v>105</v>
      </c>
      <c r="I8" t="inlineStr">
        <is>
          <t>Diff in $</t>
        </is>
      </c>
      <c r="J8" s="61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57">
        <f>(B8)</f>
        <v/>
      </c>
      <c r="S8" s="54">
        <f>(T8/R8)</f>
        <v/>
      </c>
      <c r="T8" s="54" t="inlineStr">
        <is>
          <t>105</t>
        </is>
      </c>
    </row>
    <row r="9">
      <c r="B9" s="57" t="n">
        <v>0.002</v>
      </c>
      <c r="C9" s="54">
        <f>D9/B9</f>
        <v/>
      </c>
      <c r="D9" s="54" t="n">
        <v>43.5</v>
      </c>
      <c r="L9" t="inlineStr">
        <is>
          <t>Objectif</t>
        </is>
      </c>
      <c r="M9">
        <f>($B$16/5)</f>
        <v/>
      </c>
      <c r="N9" s="54">
        <f>(C26)</f>
        <v/>
      </c>
      <c r="O9" s="61">
        <f>(N9*M9)</f>
        <v/>
      </c>
      <c r="P9" t="inlineStr">
        <is>
          <t>Done</t>
        </is>
      </c>
      <c r="R9" s="57">
        <f>(B9)</f>
        <v/>
      </c>
      <c r="S9" s="54">
        <f>(T9/R9)</f>
        <v/>
      </c>
      <c r="T9" s="54" t="inlineStr">
        <is>
          <t>43.5</t>
        </is>
      </c>
    </row>
    <row r="10">
      <c r="B10" s="57" t="n">
        <v>0.0007</v>
      </c>
      <c r="C10" s="54" t="n">
        <v>20458</v>
      </c>
      <c r="D10" s="54">
        <f>(C10*B10)</f>
        <v/>
      </c>
      <c r="M10">
        <f>($B$16/5)</f>
        <v/>
      </c>
      <c r="N10" s="54">
        <f>($C$16*Params!K16)</f>
        <v/>
      </c>
      <c r="O10" s="61">
        <f>(N10*M10)</f>
        <v/>
      </c>
      <c r="R10" s="57">
        <f>(B10)</f>
        <v/>
      </c>
      <c r="S10" s="54" t="n">
        <v>20458</v>
      </c>
      <c r="T10" s="54">
        <f>(S10*R10)</f>
        <v/>
      </c>
    </row>
    <row r="11">
      <c r="B11" s="57" t="n">
        <v>0.00051</v>
      </c>
      <c r="C11" s="54" t="n">
        <v>19873.31</v>
      </c>
      <c r="D11" s="54">
        <f>(C11*B11)</f>
        <v/>
      </c>
      <c r="M11">
        <f>($B$16/5)</f>
        <v/>
      </c>
      <c r="N11" s="54">
        <f>($C$16*Params!K17)</f>
        <v/>
      </c>
      <c r="O11" s="61">
        <f>(N11*M11)</f>
        <v/>
      </c>
      <c r="R11" s="57">
        <f>(B12)</f>
        <v/>
      </c>
      <c r="S11" s="54" t="n">
        <v>19169.31</v>
      </c>
      <c r="T11" s="54">
        <f>(S11*R11)</f>
        <v/>
      </c>
    </row>
    <row r="12">
      <c r="B12" s="57" t="n">
        <v>0.0006400000000000001</v>
      </c>
      <c r="C12" s="54" t="n">
        <v>19169.31</v>
      </c>
      <c r="D12" s="54">
        <f>(C12*B12)</f>
        <v/>
      </c>
      <c r="M12">
        <f>($B$16/5)</f>
        <v/>
      </c>
      <c r="N12" s="54">
        <f>($C$16*Params!K18)</f>
        <v/>
      </c>
      <c r="O12" s="61">
        <f>(N12*M12)</f>
        <v/>
      </c>
      <c r="R12" s="57">
        <f>(B13+B11+B14)</f>
        <v/>
      </c>
      <c r="S12" s="54">
        <f>(T12/R12)</f>
        <v/>
      </c>
      <c r="T12" s="54">
        <f>(D13+D11+D14)</f>
        <v/>
      </c>
    </row>
    <row r="13">
      <c r="B13" s="57" t="n">
        <v>-0.0005</v>
      </c>
      <c r="C13" s="54" t="n">
        <v>20709.08</v>
      </c>
      <c r="D13" s="54">
        <f>(C13*B13)</f>
        <v/>
      </c>
      <c r="R13" s="57">
        <f>(B15)</f>
        <v/>
      </c>
      <c r="S13" s="54" t="n">
        <v>18969</v>
      </c>
      <c r="T13" s="54">
        <f>(S13*R13)</f>
        <v/>
      </c>
    </row>
    <row r="14">
      <c r="B14" s="57" t="n">
        <v>0.00054</v>
      </c>
      <c r="C14" s="54" t="n">
        <v>19000</v>
      </c>
      <c r="D14" s="54">
        <f>(C14*B14)</f>
        <v/>
      </c>
      <c r="O14" s="61">
        <f>(SUM(O9:O12))</f>
        <v/>
      </c>
      <c r="R14" s="57">
        <f>(B16+B26)</f>
        <v/>
      </c>
      <c r="S14" s="54">
        <f>(T14/R14)</f>
        <v/>
      </c>
      <c r="T14" s="54">
        <f>(D16+D26)</f>
        <v/>
      </c>
    </row>
    <row r="15">
      <c r="B15" s="57" t="n">
        <v>0.00258</v>
      </c>
      <c r="C15" s="54" t="n">
        <v>18969</v>
      </c>
      <c r="D15" s="54">
        <f>(C15*B15)</f>
        <v/>
      </c>
      <c r="R15" s="57">
        <f>(B17+B18+B21+B33)</f>
        <v/>
      </c>
      <c r="S15" s="54">
        <f>(T15/R15)</f>
        <v/>
      </c>
      <c r="T15" s="54">
        <f>(D17+D18+D21+D33)</f>
        <v/>
      </c>
    </row>
    <row r="16">
      <c r="B16" s="57" t="n">
        <v>0.00168</v>
      </c>
      <c r="C16" s="54" t="n">
        <v>16620.02</v>
      </c>
      <c r="D16" s="54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57">
        <f>(B19+B27)</f>
        <v/>
      </c>
      <c r="S16" s="54">
        <f>(T16/R16)</f>
        <v/>
      </c>
      <c r="T16" s="54">
        <f>(D19+D27)</f>
        <v/>
      </c>
    </row>
    <row r="17">
      <c r="B17" s="57" t="n">
        <v>0.00092134</v>
      </c>
      <c r="C17" s="54">
        <f>(D17/B17)</f>
        <v/>
      </c>
      <c r="D17" s="54" t="n">
        <v>10.36</v>
      </c>
      <c r="L17" t="inlineStr">
        <is>
          <t>Objectif</t>
        </is>
      </c>
      <c r="M17">
        <f>($B$17/5)</f>
        <v/>
      </c>
      <c r="N17" s="54">
        <f>(C18)</f>
        <v/>
      </c>
      <c r="O17" s="61">
        <f>(N17*M17)</f>
        <v/>
      </c>
      <c r="P17" t="inlineStr">
        <is>
          <t>Done</t>
        </is>
      </c>
      <c r="R17" s="57">
        <f>(B20+B28)</f>
        <v/>
      </c>
      <c r="S17" s="54">
        <f>(T17/R17)</f>
        <v/>
      </c>
      <c r="T17" s="54">
        <f>(D20+D28)</f>
        <v/>
      </c>
    </row>
    <row r="18">
      <c r="B18" s="57" t="n">
        <v>-0.00018</v>
      </c>
      <c r="C18" s="54">
        <f>(D18/B18)</f>
        <v/>
      </c>
      <c r="D18" s="54">
        <f>(-2.96)</f>
        <v/>
      </c>
      <c r="M18">
        <f>($B$17/5)</f>
        <v/>
      </c>
      <c r="N18" s="54">
        <f>(C21)</f>
        <v/>
      </c>
      <c r="O18" s="61">
        <f>(N18*M18)</f>
        <v/>
      </c>
      <c r="P18" t="inlineStr">
        <is>
          <t>Done</t>
        </is>
      </c>
      <c r="R18" s="57">
        <f>(B22+B27)</f>
        <v/>
      </c>
      <c r="S18" s="54">
        <f>(T18/R18)</f>
        <v/>
      </c>
      <c r="T18" s="54">
        <f>(D22+D29)</f>
        <v/>
      </c>
    </row>
    <row r="19">
      <c r="B19" s="57" t="n">
        <v>0.000599999999999999</v>
      </c>
      <c r="C19" s="54">
        <f>(D19/B19)</f>
        <v/>
      </c>
      <c r="D19" s="54" t="n">
        <v>10.02</v>
      </c>
      <c r="F19" s="57" t="n"/>
      <c r="I19" s="55" t="n"/>
      <c r="M19">
        <f>($B$17/5)</f>
        <v/>
      </c>
      <c r="N19" s="54">
        <f>(C33)</f>
        <v/>
      </c>
      <c r="O19" s="61">
        <f>(N19*M19)</f>
        <v/>
      </c>
      <c r="P19" t="inlineStr">
        <is>
          <t>Done</t>
        </is>
      </c>
      <c r="R19" s="57">
        <f>(B23+B32)</f>
        <v/>
      </c>
      <c r="S19" s="54">
        <f>(T19/R19)</f>
        <v/>
      </c>
      <c r="T19" s="54">
        <f>(D23+17438.6*B32)</f>
        <v/>
      </c>
      <c r="U19" t="inlineStr">
        <is>
          <t>DCA1</t>
        </is>
      </c>
    </row>
    <row r="20">
      <c r="B20" s="57" t="n">
        <v>0.0009133</v>
      </c>
      <c r="C20" s="54">
        <f>(D20/B20)</f>
        <v/>
      </c>
      <c r="D20" s="54" t="n">
        <v>15.6</v>
      </c>
      <c r="M20">
        <f>($B$17/5)</f>
        <v/>
      </c>
      <c r="N20" s="54">
        <f>($C$17*Params!K18)</f>
        <v/>
      </c>
      <c r="O20" s="61">
        <f>(N20*M20)</f>
        <v/>
      </c>
      <c r="R20" s="57">
        <f>(B24+B31)</f>
        <v/>
      </c>
      <c r="S20" s="54">
        <f>(T20/R20)</f>
        <v/>
      </c>
      <c r="T20" s="54">
        <f>(D24+17211.7*B31)</f>
        <v/>
      </c>
      <c r="U20" t="inlineStr">
        <is>
          <t>DCA2</t>
        </is>
      </c>
    </row>
    <row r="21">
      <c r="B21" s="57" t="n">
        <v>-0.000184</v>
      </c>
      <c r="C21" s="54">
        <f>(D21/B21)</f>
        <v/>
      </c>
      <c r="D21" s="54" t="n">
        <v>-3.15</v>
      </c>
      <c r="R21" s="57">
        <f>(B25+B30)</f>
        <v/>
      </c>
      <c r="S21" s="54">
        <f>(T21/R21)</f>
        <v/>
      </c>
      <c r="T21" s="54">
        <f>(D25+D30)</f>
        <v/>
      </c>
    </row>
    <row r="22">
      <c r="B22" s="57" t="n">
        <v>0.00058</v>
      </c>
      <c r="C22" s="54">
        <f>(D22/B22)</f>
        <v/>
      </c>
      <c r="D22" s="54" t="n">
        <v>9.880000000000001</v>
      </c>
      <c r="O22" s="61">
        <f>(SUM(O17:O20))</f>
        <v/>
      </c>
      <c r="R22" s="57">
        <f>(B31-B31)</f>
        <v/>
      </c>
      <c r="S22" s="54" t="n">
        <v>0</v>
      </c>
      <c r="T22" s="54">
        <f>(17211.7*-B31+D31)</f>
        <v/>
      </c>
      <c r="U22" t="inlineStr">
        <is>
          <t>DCA2 1/5</t>
        </is>
      </c>
    </row>
    <row r="23">
      <c r="B23" s="57" t="n">
        <v>0.00688731</v>
      </c>
      <c r="C23" s="54">
        <f>(D23/B23)</f>
        <v/>
      </c>
      <c r="D23" s="54" t="n">
        <v>166.92</v>
      </c>
      <c r="E23" t="inlineStr">
        <is>
          <t>DCA1</t>
        </is>
      </c>
      <c r="R23" s="57">
        <f>(B32-B32)</f>
        <v/>
      </c>
      <c r="S23" s="54" t="n">
        <v>0</v>
      </c>
      <c r="T23" s="54">
        <f>(17438.6*-B32+D32)</f>
        <v/>
      </c>
      <c r="U23" t="inlineStr">
        <is>
          <t>DCA1 1/5</t>
        </is>
      </c>
    </row>
    <row r="24">
      <c r="B24" s="57" t="n">
        <v>0.00154104</v>
      </c>
      <c r="C24" s="54">
        <f>(D24/B24)</f>
        <v/>
      </c>
      <c r="D24" s="54" t="n">
        <v>39.5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57">
        <f>(B34)</f>
        <v/>
      </c>
      <c r="S24" s="54">
        <f>(T24/R24)</f>
        <v/>
      </c>
      <c r="T24" s="54">
        <f>(D34)</f>
        <v/>
      </c>
      <c r="U24" t="inlineStr">
        <is>
          <t>DCA3</t>
        </is>
      </c>
    </row>
    <row r="25">
      <c r="B25" s="57" t="n">
        <v>2.97e-05</v>
      </c>
      <c r="C25" s="54">
        <f>(D25/B25)</f>
        <v/>
      </c>
      <c r="D25" s="54" t="n">
        <v>0.5</v>
      </c>
      <c r="L25" t="inlineStr">
        <is>
          <t>Objectif</t>
        </is>
      </c>
      <c r="M25">
        <f>($B$19/5)</f>
        <v/>
      </c>
      <c r="N25" s="54">
        <f>(C27)</f>
        <v/>
      </c>
      <c r="O25" s="61">
        <f>(N25*M25)</f>
        <v/>
      </c>
      <c r="P25" t="inlineStr">
        <is>
          <t>Done</t>
        </is>
      </c>
    </row>
    <row r="26">
      <c r="B26" s="57" t="n">
        <v>-0.000336</v>
      </c>
      <c r="C26" s="54">
        <f>(D26/B26)</f>
        <v/>
      </c>
      <c r="D26" s="54">
        <f>(-7.04895293)</f>
        <v/>
      </c>
      <c r="M26">
        <f>($B$19/5)</f>
        <v/>
      </c>
      <c r="N26" s="54">
        <f>($C$19*Params!K16)</f>
        <v/>
      </c>
      <c r="O26" s="61">
        <f>(N26*M26)</f>
        <v/>
      </c>
    </row>
    <row r="27">
      <c r="B27" s="57" t="n">
        <v>-0.00012</v>
      </c>
      <c r="C27" s="54" t="n">
        <v>20900</v>
      </c>
      <c r="D27" s="54">
        <f>(C27*B27)</f>
        <v/>
      </c>
      <c r="M27">
        <f>($B$19/5)</f>
        <v/>
      </c>
      <c r="N27" s="54">
        <f>($C$19*Params!K17)</f>
        <v/>
      </c>
      <c r="O27" s="61">
        <f>(N27*M27)</f>
        <v/>
      </c>
    </row>
    <row r="28">
      <c r="B28" s="57" t="n">
        <v>-0.00018</v>
      </c>
      <c r="C28" s="54" t="n">
        <v>21355</v>
      </c>
      <c r="D28" s="54">
        <f>(B28*C28)</f>
        <v/>
      </c>
      <c r="M28">
        <f>($B$19/5)</f>
        <v/>
      </c>
      <c r="N28" s="54">
        <f>($C$19*Params!K18)</f>
        <v/>
      </c>
      <c r="O28" s="61">
        <f>(N28*M28)</f>
        <v/>
      </c>
    </row>
    <row r="29">
      <c r="B29" s="57" t="n">
        <v>-0.00012</v>
      </c>
      <c r="C29" s="54" t="n">
        <v>21355</v>
      </c>
      <c r="D29" s="54">
        <f>(C29*B29)</f>
        <v/>
      </c>
    </row>
    <row r="30">
      <c r="B30" s="57">
        <f>(-M65)</f>
        <v/>
      </c>
      <c r="C30" s="54" t="n">
        <v>21560</v>
      </c>
      <c r="D30" s="54">
        <f>(C30*B30)</f>
        <v/>
      </c>
      <c r="O30" s="61">
        <f>(SUM(O25:O28))</f>
        <v/>
      </c>
    </row>
    <row r="31">
      <c r="B31" s="57">
        <f>(-0.000058-B30)</f>
        <v/>
      </c>
      <c r="C31" s="54" t="n">
        <v>21560</v>
      </c>
      <c r="D31" s="54">
        <f>(C31*B31)</f>
        <v/>
      </c>
      <c r="Z31" s="55" t="n"/>
    </row>
    <row r="32">
      <c r="B32" s="57" t="n">
        <v>-0.000342</v>
      </c>
      <c r="C32" s="54">
        <f>(D32/B32)</f>
        <v/>
      </c>
      <c r="D32" s="54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  <c r="Z32" s="55" t="n"/>
    </row>
    <row r="33">
      <c r="B33" s="57">
        <f>(-0.000184)</f>
        <v/>
      </c>
      <c r="C33" s="54">
        <f>(D33/B33)</f>
        <v/>
      </c>
      <c r="D33" s="54">
        <f>(-4.215072)</f>
        <v/>
      </c>
      <c r="L33" t="inlineStr">
        <is>
          <t>Objectif</t>
        </is>
      </c>
      <c r="M33">
        <f>($B$20/5)</f>
        <v/>
      </c>
      <c r="N33" s="54">
        <f>(C28)</f>
        <v/>
      </c>
      <c r="O33" s="61">
        <f>(N33*M33)</f>
        <v/>
      </c>
      <c r="P33" t="inlineStr">
        <is>
          <t>Done</t>
        </is>
      </c>
    </row>
    <row r="34">
      <c r="B34" s="57" t="n">
        <v>0.00177305</v>
      </c>
      <c r="C34" s="54">
        <f>(D34/B34)</f>
        <v/>
      </c>
      <c r="D34" s="54" t="n">
        <v>48.35</v>
      </c>
      <c r="E34" t="inlineStr">
        <is>
          <t>DCA3</t>
        </is>
      </c>
      <c r="M34">
        <f>($B$20/5)</f>
        <v/>
      </c>
      <c r="N34" s="54">
        <f>($C$20*Params!K16)</f>
        <v/>
      </c>
      <c r="O34" s="61">
        <f>(N34*M34)</f>
        <v/>
      </c>
    </row>
    <row r="35">
      <c r="B35" s="57">
        <f>0.00073-0.00000073</f>
        <v/>
      </c>
      <c r="C35" s="54">
        <f>(D35/B35)</f>
        <v/>
      </c>
      <c r="D35" s="54" t="n">
        <v>19.978567</v>
      </c>
      <c r="M35">
        <f>($B$20/5)</f>
        <v/>
      </c>
      <c r="N35" s="54">
        <f>($C$20*Params!K17)</f>
        <v/>
      </c>
      <c r="O35" s="61">
        <f>(N35*M35)</f>
        <v/>
      </c>
    </row>
    <row r="36">
      <c r="B36" s="57" t="n">
        <v>-0.00108507</v>
      </c>
      <c r="C36" s="54" t="n">
        <v>42783</v>
      </c>
      <c r="D36" s="54">
        <f>C36*B36</f>
        <v/>
      </c>
      <c r="E36" t="inlineStr">
        <is>
          <t xml:space="preserve"> 0.05319 ratio</t>
        </is>
      </c>
      <c r="F36" t="n">
        <v>0.0203796</v>
      </c>
      <c r="G36" t="inlineStr">
        <is>
          <t>eth</t>
        </is>
      </c>
      <c r="H36" t="n">
        <v>0.06</v>
      </c>
      <c r="M36">
        <f>($B$20/5)</f>
        <v/>
      </c>
      <c r="N36" s="54">
        <f>($C$20*Params!K18)</f>
        <v/>
      </c>
      <c r="O36" s="61">
        <f>(N36*M36)</f>
        <v/>
      </c>
    </row>
    <row r="37">
      <c r="F37" t="inlineStr">
        <is>
          <t>Moy</t>
        </is>
      </c>
      <c r="G37" s="55">
        <f>(D38/B38)</f>
        <v/>
      </c>
      <c r="R37">
        <f>(SUM(R5:R25))</f>
        <v/>
      </c>
      <c r="T37" s="54">
        <f>(SUM(T5:T25))</f>
        <v/>
      </c>
    </row>
    <row r="38">
      <c r="B38">
        <f>(SUM(B5:B37))</f>
        <v/>
      </c>
      <c r="D38" s="54">
        <f>(SUM(D5:D37))</f>
        <v/>
      </c>
      <c r="O38" s="61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4">
        <f>(C29)</f>
        <v/>
      </c>
      <c r="O41" s="61">
        <f>(N41*M41)</f>
        <v/>
      </c>
      <c r="P41" t="inlineStr">
        <is>
          <t>Done</t>
        </is>
      </c>
    </row>
    <row r="42">
      <c r="M42">
        <f>($B$22/5)</f>
        <v/>
      </c>
      <c r="N42" s="54">
        <f>($C$22*Params!K16)</f>
        <v/>
      </c>
      <c r="O42" s="61">
        <f>(N42*M42)</f>
        <v/>
      </c>
    </row>
    <row r="43">
      <c r="M43">
        <f>($B$22/5)</f>
        <v/>
      </c>
      <c r="N43" s="54">
        <f>($C$22*Params!K17)</f>
        <v/>
      </c>
      <c r="O43" s="61">
        <f>(N43*M43)</f>
        <v/>
      </c>
    </row>
    <row r="44">
      <c r="M44">
        <f>($B$22/5)</f>
        <v/>
      </c>
      <c r="N44" s="54">
        <f>($C$22*Params!K18)</f>
        <v/>
      </c>
      <c r="O44" s="61">
        <f>(N44*M44)</f>
        <v/>
      </c>
    </row>
    <row r="45"/>
    <row r="46">
      <c r="O46" s="61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4">
        <f>(C32)</f>
        <v/>
      </c>
      <c r="O49" s="61">
        <f>(N49*M49)</f>
        <v/>
      </c>
      <c r="P49" t="inlineStr">
        <is>
          <t>Done</t>
        </is>
      </c>
    </row>
    <row r="50">
      <c r="M50">
        <f>(2*($R$19+M49)/5-M49)</f>
        <v/>
      </c>
      <c r="N50" s="54">
        <f>($S$19*Params!K16)</f>
        <v/>
      </c>
      <c r="O50" s="61">
        <f>(N50*M50)</f>
        <v/>
      </c>
    </row>
    <row r="51">
      <c r="M51">
        <f>($B$23/5)</f>
        <v/>
      </c>
      <c r="N51" s="54">
        <f>($S$19*Params!K17)</f>
        <v/>
      </c>
      <c r="O51" s="61">
        <f>(N51*M51)</f>
        <v/>
      </c>
    </row>
    <row r="52">
      <c r="M52">
        <f>($B$23/5)</f>
        <v/>
      </c>
      <c r="N52" s="54">
        <f>($S$19*Params!K18)</f>
        <v/>
      </c>
      <c r="O52" s="61">
        <f>(N52*M52)</f>
        <v/>
      </c>
    </row>
    <row r="53"/>
    <row r="54">
      <c r="O54" s="61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4">
        <f>(C31)</f>
        <v/>
      </c>
      <c r="O57" s="61">
        <f>(N57*M57)</f>
        <v/>
      </c>
      <c r="P57" t="inlineStr">
        <is>
          <t>Done</t>
        </is>
      </c>
    </row>
    <row r="58">
      <c r="M58">
        <f>(2*($R$20+M57)/5-M57)</f>
        <v/>
      </c>
      <c r="N58" s="54">
        <f>($S$20*Params!K16)</f>
        <v/>
      </c>
      <c r="O58" s="61">
        <f>(N58*M58)</f>
        <v/>
      </c>
    </row>
    <row r="59">
      <c r="M59">
        <f>($B$24/5)</f>
        <v/>
      </c>
      <c r="N59" s="54">
        <f>($S$20*Params!K17)</f>
        <v/>
      </c>
      <c r="O59" s="61">
        <f>(N59*M59)</f>
        <v/>
      </c>
    </row>
    <row r="60">
      <c r="M60">
        <f>($B$24/5)</f>
        <v/>
      </c>
      <c r="N60" s="54">
        <f>($S$20*Params!K18)</f>
        <v/>
      </c>
      <c r="O60" s="61">
        <f>(N60*M60)</f>
        <v/>
      </c>
    </row>
    <row r="61"/>
    <row r="62">
      <c r="O62" s="61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4">
        <f>(C30)</f>
        <v/>
      </c>
      <c r="O65" s="61">
        <f>(N65*M65)</f>
        <v/>
      </c>
      <c r="P65" t="inlineStr">
        <is>
          <t>Done</t>
        </is>
      </c>
    </row>
    <row r="66">
      <c r="M66">
        <f>($B$25/5)</f>
        <v/>
      </c>
      <c r="N66" s="54">
        <f>($C$25*Params!K16)</f>
        <v/>
      </c>
      <c r="O66" s="61">
        <f>(N66*M66)</f>
        <v/>
      </c>
    </row>
    <row r="67">
      <c r="M67">
        <f>($B$25/5)</f>
        <v/>
      </c>
      <c r="N67" s="54">
        <f>($C$25*Params!K17)</f>
        <v/>
      </c>
      <c r="O67" s="61">
        <f>(N67*M67)</f>
        <v/>
      </c>
    </row>
    <row r="68">
      <c r="M68">
        <f>($B$25/5)</f>
        <v/>
      </c>
      <c r="N68" s="54">
        <f>($C$25*Params!K18)</f>
        <v/>
      </c>
      <c r="O68" s="61">
        <f>(N68*M68)</f>
        <v/>
      </c>
    </row>
    <row r="69"/>
    <row r="70">
      <c r="O70" s="61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4">
        <f>($S$24*Params!K15)</f>
        <v/>
      </c>
      <c r="O73" s="61">
        <f>(N73*M73)</f>
        <v/>
      </c>
    </row>
    <row r="74">
      <c r="M74">
        <f>($R$24/5)</f>
        <v/>
      </c>
      <c r="N74" s="54">
        <f>($S$24*Params!K16)</f>
        <v/>
      </c>
      <c r="O74" s="61">
        <f>(N74*M74)</f>
        <v/>
      </c>
    </row>
    <row r="75">
      <c r="M75">
        <f>($R$24/5)</f>
        <v/>
      </c>
      <c r="N75" s="54">
        <f>($S$24*Params!K17)</f>
        <v/>
      </c>
      <c r="O75" s="61">
        <f>(N75*M75)</f>
        <v/>
      </c>
    </row>
    <row r="76">
      <c r="M76">
        <f>($R$24/5)</f>
        <v/>
      </c>
      <c r="N76" s="54">
        <f>($S$24*Params!K18)</f>
        <v/>
      </c>
      <c r="O76" s="61">
        <f>(N76*M76)</f>
        <v/>
      </c>
    </row>
    <row r="77"/>
    <row r="78">
      <c r="O78" s="61">
        <f>(SUM(O73:O76))</f>
        <v/>
      </c>
    </row>
  </sheetData>
  <conditionalFormatting sqref="C5 C7:C17 C19:C20 C22:C25 C34:C36 G37 N10:N12 N20 N26:N28 N34:N35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3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3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3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3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3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3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3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3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3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3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3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3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3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3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3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3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3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3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3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3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3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3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3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3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3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3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3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3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3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3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3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3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3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3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3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3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3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3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3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3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3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3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3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3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3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3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3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3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3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3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3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3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3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3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3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3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3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3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3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3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3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3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3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3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3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3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3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3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3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3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3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3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3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3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3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3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3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3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3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3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3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3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3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3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3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3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3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3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3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3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3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3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3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3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3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3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3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3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3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3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3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3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3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3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3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3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3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3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3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3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3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3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3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3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3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3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3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3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3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3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3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3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3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3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3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3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3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3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3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3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3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3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3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3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3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3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3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3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3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3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3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3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3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3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3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3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3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3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3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3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3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3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3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3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3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3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3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3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3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3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3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3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3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3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3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3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3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3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3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3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3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3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3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3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3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3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3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3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3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3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3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3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3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3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3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3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3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3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3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3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3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3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3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3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3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3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3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3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3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3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3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3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3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4" t="n">
        <v>0.4920347051229582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(B9*J3)</f>
        <v/>
      </c>
      <c r="K4" s="4">
        <f>(J4/D9-1)</f>
        <v/>
      </c>
    </row>
    <row r="5">
      <c r="B5" s="19" t="n">
        <v>1.547</v>
      </c>
      <c r="C5" s="54" t="n">
        <v>10</v>
      </c>
      <c r="D5" s="54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4" t="n">
        <v>3.941</v>
      </c>
      <c r="D6" s="54">
        <f>(B6*C6)</f>
        <v/>
      </c>
      <c r="M6" t="inlineStr">
        <is>
          <t>Objectif :</t>
        </is>
      </c>
      <c r="N6" s="54">
        <f>(MIN(C5:C8)*2)</f>
        <v/>
      </c>
      <c r="O6">
        <f>(INDEX(B5:B8,MATCH(N6/2,C5:C8,0)))</f>
        <v/>
      </c>
      <c r="P6" s="54">
        <f>(N6*O6/2)</f>
        <v/>
      </c>
    </row>
    <row r="7">
      <c r="B7" s="19" t="n">
        <v>2</v>
      </c>
      <c r="C7" s="54" t="n">
        <v>1.7</v>
      </c>
      <c r="D7" s="54">
        <f>(B7*C7)</f>
        <v/>
      </c>
    </row>
    <row r="8">
      <c r="F8" t="inlineStr">
        <is>
          <t>Moy</t>
        </is>
      </c>
      <c r="G8" s="54">
        <f>(SUM(D5:D8)/SUM(B5:B8))</f>
        <v/>
      </c>
    </row>
    <row r="9">
      <c r="B9" s="19">
        <f>(SUM(B5:B8))</f>
        <v/>
      </c>
      <c r="D9" s="54">
        <f>(SUM(D5:D8))</f>
        <v/>
      </c>
    </row>
    <row r="10">
      <c r="D10" s="54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4">
        <f>($C$5*Params!K8)</f>
        <v/>
      </c>
      <c r="P11" s="54">
        <f>(O11*N11)</f>
        <v/>
      </c>
    </row>
    <row r="12">
      <c r="N12">
        <f>($B$5/5)</f>
        <v/>
      </c>
      <c r="O12" s="54">
        <f>($C$5*Params!K9)</f>
        <v/>
      </c>
      <c r="P12" s="54">
        <f>(O12*N12)</f>
        <v/>
      </c>
    </row>
    <row r="13">
      <c r="N13">
        <f>($B$5/5)</f>
        <v/>
      </c>
      <c r="O13" s="54">
        <f>($C$5*Params!K10)</f>
        <v/>
      </c>
      <c r="P13" s="54">
        <f>(O13*N13)</f>
        <v/>
      </c>
    </row>
    <row r="14">
      <c r="N14">
        <f>($B$5/5)</f>
        <v/>
      </c>
      <c r="O14" s="54">
        <f>($C$5*Params!K11)</f>
        <v/>
      </c>
      <c r="P14" s="54">
        <f>(O14*N14)</f>
        <v/>
      </c>
    </row>
    <row r="17">
      <c r="P17" s="54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4">
        <f>($C$6*Params!K8)</f>
        <v/>
      </c>
      <c r="P20" s="54">
        <f>(O20*N20)</f>
        <v/>
      </c>
    </row>
    <row r="21">
      <c r="N21">
        <f>($B$6/5)</f>
        <v/>
      </c>
      <c r="O21" s="54">
        <f>($C$6*Params!K9)</f>
        <v/>
      </c>
      <c r="P21" s="54">
        <f>(O21*N21)</f>
        <v/>
      </c>
    </row>
    <row r="22">
      <c r="N22">
        <f>($B$6/5)</f>
        <v/>
      </c>
      <c r="O22" s="54">
        <f>($C$6*Params!K10)</f>
        <v/>
      </c>
      <c r="P22" s="54">
        <f>(O22*N22)</f>
        <v/>
      </c>
    </row>
    <row r="23">
      <c r="N23">
        <f>($B$6/5)</f>
        <v/>
      </c>
      <c r="O23" s="54">
        <f>($C$6*Params!K11)</f>
        <v/>
      </c>
      <c r="P23" s="54">
        <f>(O23*N23)</f>
        <v/>
      </c>
    </row>
    <row r="26">
      <c r="P26" s="54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4">
        <f>($C$7*Params!K8)</f>
        <v/>
      </c>
      <c r="P29" s="54">
        <f>(O29*N29)</f>
        <v/>
      </c>
    </row>
    <row r="30">
      <c r="N30">
        <f>($B$7/5)</f>
        <v/>
      </c>
      <c r="O30" s="54">
        <f>($C$7*Params!K9)</f>
        <v/>
      </c>
      <c r="P30" s="54">
        <f>(O30*N30)</f>
        <v/>
      </c>
    </row>
    <row r="31">
      <c r="N31">
        <f>($B$7/5)</f>
        <v/>
      </c>
      <c r="O31" s="54">
        <f>($C$7*Params!K10)</f>
        <v/>
      </c>
      <c r="P31" s="54">
        <f>(O31*N31)</f>
        <v/>
      </c>
    </row>
    <row r="32">
      <c r="N32">
        <f>($B$7/5)</f>
        <v/>
      </c>
      <c r="O32" s="54">
        <f>($C$7*Params!K11)</f>
        <v/>
      </c>
      <c r="P32" s="54">
        <f>(O32*N32)</f>
        <v/>
      </c>
    </row>
    <row r="35">
      <c r="P35" s="54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732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4" t="n">
        <v>0.005716517344557723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9" t="n">
        <v>135</v>
      </c>
      <c r="D5" s="54" t="n">
        <v>3.5</v>
      </c>
      <c r="E5" s="55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0.8025</v>
      </c>
    </row>
    <row r="6">
      <c r="B6" s="8" t="inlineStr">
        <is>
          <t>Pearce X4</t>
        </is>
      </c>
      <c r="C6" s="59" t="n">
        <v>18</v>
      </c>
      <c r="D6" s="54" t="n">
        <v>3.5</v>
      </c>
      <c r="E6" s="55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4" t="n">
        <v>18</v>
      </c>
      <c r="D7" s="54" t="n">
        <v>3.5</v>
      </c>
      <c r="E7" s="55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4" t="n">
        <v>55</v>
      </c>
      <c r="D8" s="54" t="n">
        <v>3.5</v>
      </c>
      <c r="E8" s="55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4" t="n">
        <v>-134.99</v>
      </c>
      <c r="D9" s="54" t="n">
        <v>0.01</v>
      </c>
      <c r="E9" s="55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4" t="n">
        <v>125</v>
      </c>
      <c r="D10" s="54">
        <f>0.002*151</f>
        <v/>
      </c>
      <c r="E10" s="55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4" t="n">
        <v>-144.96</v>
      </c>
      <c r="D11" s="54" t="n">
        <v>0.01</v>
      </c>
      <c r="E11" s="55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4" t="n">
        <v>130</v>
      </c>
      <c r="D12" s="54">
        <f>0.002*151</f>
        <v/>
      </c>
      <c r="E12" s="55">
        <f>C12+D12</f>
        <v/>
      </c>
      <c r="F12" s="9" t="inlineStr">
        <is>
          <t>Buy</t>
        </is>
      </c>
      <c r="I12" t="inlineStr">
        <is>
          <t>Total Investiment</t>
        </is>
      </c>
      <c r="J12" s="54">
        <f>(SUM(D5:E8))</f>
        <v/>
      </c>
    </row>
    <row r="13">
      <c r="B13" s="8" t="inlineStr">
        <is>
          <t>Power Plant</t>
        </is>
      </c>
      <c r="C13" s="54" t="n">
        <v>-144.95</v>
      </c>
      <c r="D13" s="54" t="n">
        <v>0.01</v>
      </c>
      <c r="E13" s="55">
        <f>C13+D13</f>
        <v/>
      </c>
      <c r="F13" s="9" t="inlineStr">
        <is>
          <t>Sell</t>
        </is>
      </c>
      <c r="I13" t="inlineStr">
        <is>
          <t>Total Stack gain</t>
        </is>
      </c>
      <c r="J13" s="54">
        <f>(SUM(K35:K43)-C77*J3+D77)</f>
        <v/>
      </c>
    </row>
    <row r="14">
      <c r="B14" s="8" t="inlineStr">
        <is>
          <t>Power Plant</t>
        </is>
      </c>
      <c r="C14" s="54" t="n">
        <v>130</v>
      </c>
      <c r="D14" s="54">
        <f>0.01</f>
        <v/>
      </c>
      <c r="E14" s="55">
        <f>C14+D14</f>
        <v/>
      </c>
      <c r="F14" s="9" t="inlineStr">
        <is>
          <t>Buy</t>
        </is>
      </c>
      <c r="I14" t="inlineStr">
        <is>
          <t>Trade gain</t>
        </is>
      </c>
      <c r="J14" s="54">
        <f>(-SUM(E9:E31))</f>
        <v/>
      </c>
      <c r="K14" s="55">
        <f>(J14-M38-M39-M40-M42-L43)</f>
        <v/>
      </c>
    </row>
    <row r="15">
      <c r="B15" s="8" t="inlineStr">
        <is>
          <t>Power Plant</t>
        </is>
      </c>
      <c r="C15" s="54" t="n">
        <v>-144.98</v>
      </c>
      <c r="D15" s="54" t="n">
        <v>0.01</v>
      </c>
      <c r="E15" s="55">
        <f>C15+D15</f>
        <v/>
      </c>
      <c r="F15" s="9" t="inlineStr">
        <is>
          <t>Sell</t>
        </is>
      </c>
      <c r="I15" t="inlineStr">
        <is>
          <t>Total</t>
        </is>
      </c>
      <c r="J15" s="54">
        <f>(J13-J12+J14)</f>
        <v/>
      </c>
    </row>
    <row r="16">
      <c r="B16" s="8" t="inlineStr">
        <is>
          <t>Power Plant</t>
        </is>
      </c>
      <c r="C16" s="54" t="n">
        <v>130</v>
      </c>
      <c r="D16" s="54">
        <f>0.01</f>
        <v/>
      </c>
      <c r="E16" s="55">
        <f>C16+D16</f>
        <v/>
      </c>
      <c r="F16" s="9" t="inlineStr">
        <is>
          <t>Buy</t>
        </is>
      </c>
      <c r="I16" t="inlineStr">
        <is>
          <t>Total with NFT</t>
        </is>
      </c>
      <c r="J16" s="54">
        <f>(J15+M47)</f>
        <v/>
      </c>
    </row>
    <row r="17">
      <c r="B17" s="8" t="inlineStr">
        <is>
          <t>Opal Jet</t>
        </is>
      </c>
      <c r="C17" s="54" t="n">
        <v>19.73</v>
      </c>
      <c r="D17" s="54" t="n">
        <v>0.28</v>
      </c>
      <c r="E17" s="55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4" t="n">
        <v>38</v>
      </c>
      <c r="D18" s="54" t="n">
        <v>0.01</v>
      </c>
      <c r="E18" s="55">
        <f>C18+D18</f>
        <v/>
      </c>
      <c r="F18" s="9" t="inlineStr">
        <is>
          <t>Buy x2</t>
        </is>
      </c>
      <c r="R18" s="55" t="n"/>
    </row>
    <row r="19">
      <c r="B19" s="8" t="inlineStr">
        <is>
          <t>Opal Jet</t>
        </is>
      </c>
      <c r="C19" s="54" t="n">
        <v>11.25</v>
      </c>
      <c r="D19" s="54" t="n">
        <v>0.01</v>
      </c>
      <c r="E19" s="55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9" t="n">
        <v>8.02</v>
      </c>
      <c r="D20" s="54" t="n">
        <v>0.01</v>
      </c>
      <c r="E20" s="55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4" t="n">
        <v>6.01</v>
      </c>
      <c r="D21" s="54" t="n">
        <v>0</v>
      </c>
      <c r="E21" s="55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4" t="n">
        <v>-30.99</v>
      </c>
      <c r="D22" s="54" t="n">
        <v>0</v>
      </c>
      <c r="E22" s="55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4" t="n">
        <v>27.01</v>
      </c>
      <c r="D23" s="54" t="n">
        <v>0</v>
      </c>
      <c r="E23" s="55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4" t="n">
        <v>-47.22</v>
      </c>
      <c r="D24" s="54" t="n">
        <v>0</v>
      </c>
      <c r="E24" s="55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4" t="n">
        <v>35.02</v>
      </c>
      <c r="D25" s="54" t="n">
        <v>0</v>
      </c>
      <c r="E25" s="55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4" t="n">
        <v>-59.99</v>
      </c>
      <c r="D26" s="54" t="n">
        <v>0</v>
      </c>
      <c r="E26" s="55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9" t="n">
        <v>30.05</v>
      </c>
      <c r="D27" s="54" t="n">
        <v>0</v>
      </c>
      <c r="E27" s="55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9" t="n">
        <v>36.01</v>
      </c>
      <c r="D28" s="54" t="n">
        <v>0</v>
      </c>
      <c r="E28" s="55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4" t="n">
        <v>-8.050000000000001</v>
      </c>
      <c r="D29" s="54" t="n">
        <v>0</v>
      </c>
      <c r="E29" s="55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4" t="n">
        <v>4</v>
      </c>
      <c r="D30" s="54" t="n">
        <v>0.01</v>
      </c>
      <c r="E30" s="54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5" t="n">
        <v>-8.444000000000001</v>
      </c>
      <c r="D31" s="65">
        <f>-C31*6%</f>
        <v/>
      </c>
      <c r="E31" s="65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6">
        <f>E35*$N$5</f>
        <v/>
      </c>
      <c r="G35" s="54" t="n">
        <v>3.5</v>
      </c>
      <c r="H35" s="67">
        <f>G51</f>
        <v/>
      </c>
      <c r="I35" s="55">
        <f>((F35-H35*D35)*$J$3-G35)</f>
        <v/>
      </c>
      <c r="J35" t="n">
        <v>1</v>
      </c>
      <c r="K35" s="68">
        <f>I35*J35</f>
        <v/>
      </c>
      <c r="L35" s="69" t="n">
        <v>33.5</v>
      </c>
      <c r="M35" s="69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6">
        <f>E36*$N$5</f>
        <v/>
      </c>
      <c r="G36" s="54" t="n">
        <v>3.5</v>
      </c>
      <c r="H36" s="67">
        <f>G52</f>
        <v/>
      </c>
      <c r="I36" s="55">
        <f>((F36-H36*D36)*$J$3-G36)</f>
        <v/>
      </c>
      <c r="J36" t="n">
        <v>1</v>
      </c>
      <c r="K36" s="68">
        <f>I36*J36</f>
        <v/>
      </c>
      <c r="L36" s="69" t="n">
        <v>9</v>
      </c>
      <c r="M36" s="69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6">
        <f>E37*$N$5</f>
        <v/>
      </c>
      <c r="G37" s="54" t="n">
        <v>3.5</v>
      </c>
      <c r="H37" s="67">
        <f>G53</f>
        <v/>
      </c>
      <c r="I37" s="55">
        <f>((F37-H37*D37)*$J$3-G37)</f>
        <v/>
      </c>
      <c r="J37" t="n">
        <v>1</v>
      </c>
      <c r="K37" s="68">
        <f>I37*J37</f>
        <v/>
      </c>
      <c r="L37" s="69" t="n">
        <v>6.5</v>
      </c>
      <c r="M37" s="69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6">
        <f>E38*$N$5</f>
        <v/>
      </c>
      <c r="G38" s="54" t="n">
        <v>0</v>
      </c>
      <c r="H38" s="67">
        <f>G53</f>
        <v/>
      </c>
      <c r="I38" s="55">
        <f>((F38-H38*D38)*$J$3-G38)</f>
        <v/>
      </c>
      <c r="J38" t="n">
        <v>3</v>
      </c>
      <c r="K38" s="68">
        <f>I38*J38</f>
        <v/>
      </c>
      <c r="L38" s="69">
        <f>L37</f>
        <v/>
      </c>
      <c r="M38" s="69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6">
        <f>E39*$N$5</f>
        <v/>
      </c>
      <c r="G39" s="54" t="n">
        <v>0</v>
      </c>
      <c r="H39" s="67">
        <f>H38</f>
        <v/>
      </c>
      <c r="I39" s="55">
        <f>((F39-H39*D39)*$J$3-G39)</f>
        <v/>
      </c>
      <c r="J39" t="n">
        <v>1</v>
      </c>
      <c r="K39" s="68">
        <f>I39*J39</f>
        <v/>
      </c>
      <c r="L39" s="69">
        <f>L38</f>
        <v/>
      </c>
      <c r="M39" s="69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6">
        <f>E40*$N$5</f>
        <v/>
      </c>
      <c r="G40" s="54" t="n">
        <v>0</v>
      </c>
      <c r="H40" s="67">
        <f>H39</f>
        <v/>
      </c>
      <c r="I40" s="55">
        <f>((F40-H40*D40)*$J$3-G40)</f>
        <v/>
      </c>
      <c r="J40" t="n">
        <v>1</v>
      </c>
      <c r="K40" s="68">
        <f>I40*J40</f>
        <v/>
      </c>
      <c r="L40" s="69">
        <f>L39</f>
        <v/>
      </c>
      <c r="M40" s="69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0" t="n">
        <v>0</v>
      </c>
      <c r="H41" s="71">
        <f>H36</f>
        <v/>
      </c>
      <c r="I41" s="70">
        <f>((F41-H41*D41)*$J$3-G41)</f>
        <v/>
      </c>
      <c r="J41" s="16" t="n">
        <v>1</v>
      </c>
      <c r="K41" s="72">
        <f>I41*J41</f>
        <v/>
      </c>
      <c r="L41" s="73" t="n">
        <v>0</v>
      </c>
      <c r="M41" s="73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0" t="n">
        <v>0</v>
      </c>
      <c r="H42" s="71">
        <f>(H38)</f>
        <v/>
      </c>
      <c r="I42" s="70">
        <f>((F42-H42*D42)*$J$3-G42)</f>
        <v/>
      </c>
      <c r="J42" s="16" t="n">
        <v>1</v>
      </c>
      <c r="K42" s="72">
        <f>(I42*J42)</f>
        <v/>
      </c>
      <c r="L42" s="73" t="n">
        <v>0</v>
      </c>
      <c r="M42" s="73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68" t="n"/>
      <c r="L43" s="69" t="n">
        <v>17</v>
      </c>
      <c r="M43" s="69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69" t="n">
        <v>0.4</v>
      </c>
      <c r="M44" s="69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69" t="n">
        <v>0.35</v>
      </c>
      <c r="M45" s="69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69" t="n">
        <v>1.5</v>
      </c>
      <c r="M46" s="69">
        <f>(L46*J46)</f>
        <v/>
      </c>
      <c r="V46" s="55" t="n"/>
    </row>
    <row r="47">
      <c r="L47" t="inlineStr">
        <is>
          <t>Total</t>
        </is>
      </c>
      <c r="M47" s="69">
        <f>(SUM(M34:M46))</f>
        <v/>
      </c>
      <c r="O47" s="69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4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4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4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5" t="n">
        <v>1.14</v>
      </c>
      <c r="E60" s="62">
        <f>D60/C60</f>
        <v/>
      </c>
    </row>
    <row r="61">
      <c r="B61" s="8" t="n"/>
      <c r="C61" s="19" t="n">
        <v>130.53974622</v>
      </c>
      <c r="D61" s="75" t="n">
        <v>1.179312</v>
      </c>
      <c r="E61" s="62">
        <f>D61/C61</f>
        <v/>
      </c>
    </row>
    <row r="62">
      <c r="B62" s="8" t="n"/>
      <c r="C62" s="19" t="n">
        <v>167.40487412</v>
      </c>
      <c r="D62" s="75" t="n">
        <v>1.05481</v>
      </c>
      <c r="E62" s="62">
        <f>D62/C62</f>
        <v/>
      </c>
    </row>
    <row r="63">
      <c r="B63" s="8" t="n"/>
      <c r="C63" s="19" t="n">
        <v>167.96828</v>
      </c>
      <c r="D63" s="75">
        <f>1.0512-0.00017</f>
        <v/>
      </c>
      <c r="E63" s="62">
        <f>D63/C63</f>
        <v/>
      </c>
    </row>
    <row r="64">
      <c r="B64" s="8" t="n"/>
      <c r="C64" s="19" t="n">
        <v>123.66</v>
      </c>
      <c r="D64" s="75" t="n">
        <v>1.049</v>
      </c>
      <c r="E64" s="62">
        <f>D64/C64</f>
        <v/>
      </c>
    </row>
    <row r="65">
      <c r="B65" s="8" t="n"/>
      <c r="C65" s="19" t="n">
        <v>149.5</v>
      </c>
      <c r="D65" s="75" t="n">
        <v>1.17</v>
      </c>
      <c r="E65" s="62">
        <f>D65/C65</f>
        <v/>
      </c>
    </row>
    <row r="66">
      <c r="B66" s="8" t="n"/>
      <c r="C66" s="19" t="n">
        <v>170.62</v>
      </c>
      <c r="D66" s="75" t="n">
        <v>1.158</v>
      </c>
      <c r="E66" s="62">
        <f>D66/C66</f>
        <v/>
      </c>
    </row>
    <row r="67">
      <c r="B67" s="8" t="n"/>
      <c r="C67" s="19" t="n">
        <v>192.66</v>
      </c>
      <c r="D67" s="75" t="n">
        <v>1.09</v>
      </c>
      <c r="E67" s="62">
        <f>D67/C67</f>
        <v/>
      </c>
    </row>
    <row r="68">
      <c r="B68" s="8" t="n"/>
      <c r="C68" s="19" t="n">
        <v>257.34</v>
      </c>
      <c r="D68" s="75" t="n">
        <v>1.13</v>
      </c>
      <c r="E68" s="62">
        <f>(D68/C68)</f>
        <v/>
      </c>
    </row>
    <row r="69">
      <c r="B69" s="8" t="n"/>
      <c r="C69" s="19" t="n">
        <v>312.13</v>
      </c>
      <c r="D69" s="75" t="n">
        <v>0.82</v>
      </c>
      <c r="E69" s="62">
        <f>(D69/C69)</f>
        <v/>
      </c>
    </row>
    <row r="70">
      <c r="B70" s="8" t="n"/>
      <c r="C70" s="19" t="n">
        <v>352.461</v>
      </c>
      <c r="D70" s="75" t="n">
        <v>1.2074</v>
      </c>
      <c r="E70" s="62">
        <f>(D70/C70)</f>
        <v/>
      </c>
    </row>
    <row r="71">
      <c r="B71" s="8" t="n"/>
      <c r="C71" s="19" t="n">
        <v>263.04</v>
      </c>
      <c r="D71" s="75" t="n">
        <v>1.0588</v>
      </c>
      <c r="E71" s="62">
        <f>(D71/C71)</f>
        <v/>
      </c>
    </row>
    <row r="72">
      <c r="B72" s="8" t="n"/>
      <c r="C72" s="19" t="n">
        <v>359.00496</v>
      </c>
      <c r="D72" s="75" t="n">
        <v>1.1195</v>
      </c>
      <c r="E72" s="62">
        <f>(D72/C72)</f>
        <v/>
      </c>
    </row>
    <row r="73">
      <c r="B73" s="8" t="n"/>
      <c r="C73" s="19" t="n">
        <v>327.91</v>
      </c>
      <c r="D73" s="75" t="n">
        <v>1.0785</v>
      </c>
      <c r="E73" s="62">
        <f>(D73/C73)</f>
        <v/>
      </c>
    </row>
    <row r="74">
      <c r="B74" s="8" t="n"/>
      <c r="C74" s="19" t="n">
        <v>925.39</v>
      </c>
      <c r="D74" s="75" t="n">
        <v>3.1734</v>
      </c>
      <c r="E74" s="62">
        <f>(D74/C74)</f>
        <v/>
      </c>
    </row>
    <row r="75">
      <c r="B75" s="8" t="n"/>
      <c r="C75" s="19" t="n">
        <v>109.44</v>
      </c>
      <c r="D75" s="75" t="n"/>
      <c r="E75" s="62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4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4">
        <f>(-420/3)</f>
        <v/>
      </c>
      <c r="D4" s="54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Z41" sqref="Z41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56" t="n">
        <v>0.01</v>
      </c>
      <c r="E5" s="56">
        <f>C5*D5</f>
        <v/>
      </c>
    </row>
    <row r="6">
      <c r="B6" t="inlineStr">
        <is>
          <t>Fico</t>
        </is>
      </c>
      <c r="C6">
        <f>48*(G3-2)</f>
        <v/>
      </c>
      <c r="D6" s="56" t="n">
        <v>0.0001424</v>
      </c>
      <c r="E6" s="56">
        <f>C6*D6</f>
        <v/>
      </c>
    </row>
    <row r="9">
      <c r="E9" s="56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21"/>
  <sheetViews>
    <sheetView tabSelected="1" workbookViewId="0">
      <selection activeCell="AA41" sqref="AA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5"/>
    <col width="9.140625" customWidth="1" style="14" min="26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13.65332820942387</v>
      </c>
      <c r="M3" t="inlineStr">
        <is>
          <t>Objectif :</t>
        </is>
      </c>
      <c r="N3" s="57">
        <f>(INDEX(N5:N21,MATCH(MAX(O6:O8),O5:O21,0))/0.9)</f>
        <v/>
      </c>
      <c r="O3" s="55">
        <f>(MAX(O6:O8)*0.85)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4">
        <f>4</f>
        <v/>
      </c>
      <c r="D5" s="54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4">
        <f>(T5/R5)</f>
        <v/>
      </c>
      <c r="T5" s="54">
        <f>D5</f>
        <v/>
      </c>
    </row>
    <row r="6">
      <c r="B6" s="2" t="n">
        <v>5.36e-06</v>
      </c>
      <c r="C6" s="59" t="n">
        <v>0</v>
      </c>
      <c r="D6" s="59">
        <f>(B6*C6)</f>
        <v/>
      </c>
      <c r="E6" s="54">
        <f>(B6*J3)</f>
        <v/>
      </c>
      <c r="M6" t="inlineStr">
        <is>
          <t>Objectif</t>
        </is>
      </c>
      <c r="N6" s="1">
        <f>$B$5/5</f>
        <v/>
      </c>
      <c r="O6" s="54">
        <f>($C$5*Params!K8)</f>
        <v/>
      </c>
      <c r="P6" s="54">
        <f>O6*N6</f>
        <v/>
      </c>
      <c r="Q6" t="inlineStr">
        <is>
          <t>Done</t>
        </is>
      </c>
      <c r="R6" s="2">
        <f>(B6)</f>
        <v/>
      </c>
      <c r="S6" s="59" t="n">
        <v>0</v>
      </c>
      <c r="T6" s="59">
        <f>(D6)</f>
        <v/>
      </c>
      <c r="U6" s="54">
        <f>(R6*J3)</f>
        <v/>
      </c>
    </row>
    <row r="7">
      <c r="B7" s="1" t="n">
        <v>-0.28055386</v>
      </c>
      <c r="C7" s="54">
        <f>D7/B7</f>
        <v/>
      </c>
      <c r="D7" s="54" t="n">
        <v>-4</v>
      </c>
      <c r="N7" s="1">
        <f>$B$5/5</f>
        <v/>
      </c>
      <c r="O7" s="54">
        <f>($C$5*Params!K9)</f>
        <v/>
      </c>
      <c r="P7" s="54">
        <f>O7*N7</f>
        <v/>
      </c>
      <c r="Q7" t="inlineStr">
        <is>
          <t>Done</t>
        </is>
      </c>
      <c r="R7" s="66" t="n"/>
      <c r="S7" s="54" t="n"/>
      <c r="T7" s="54" t="n"/>
    </row>
    <row r="8">
      <c r="B8" s="1" t="n"/>
      <c r="C8" s="54" t="n"/>
      <c r="D8" s="54" t="n"/>
      <c r="N8" s="1">
        <f>$B$5/5</f>
        <v/>
      </c>
      <c r="O8" s="54">
        <f>($C$5*Params!K10)</f>
        <v/>
      </c>
      <c r="P8" s="54">
        <f>(O8*N8)</f>
        <v/>
      </c>
      <c r="Q8" t="inlineStr">
        <is>
          <t>Done</t>
        </is>
      </c>
      <c r="R8" s="1" t="n"/>
      <c r="S8" s="54" t="n"/>
      <c r="T8" s="54" t="n"/>
    </row>
    <row r="9">
      <c r="B9" s="1" t="n"/>
      <c r="C9" s="54" t="n"/>
      <c r="D9" s="54" t="n"/>
      <c r="N9" s="1">
        <f>($B$13-B7)/5</f>
        <v/>
      </c>
      <c r="O9" s="54">
        <f>($C$5*Params!K11)</f>
        <v/>
      </c>
      <c r="P9" s="54">
        <f>(O9*N9)</f>
        <v/>
      </c>
      <c r="R9" s="1" t="n"/>
      <c r="S9" s="55" t="n"/>
      <c r="T9" s="55" t="n"/>
    </row>
    <row r="10">
      <c r="B10" s="1" t="n"/>
      <c r="C10" s="55" t="n"/>
      <c r="D10" s="54" t="n"/>
      <c r="N10" s="1" t="n"/>
      <c r="P10" s="54" t="n"/>
    </row>
    <row r="11">
      <c r="B11" s="1" t="n"/>
      <c r="C11" s="55" t="n"/>
      <c r="D11" s="54" t="n"/>
      <c r="P11" s="54">
        <f>(SUM(P6:P9))</f>
        <v/>
      </c>
    </row>
    <row r="12">
      <c r="F12" t="inlineStr">
        <is>
          <t>Moy</t>
        </is>
      </c>
      <c r="G12" s="76">
        <f>(D13/B13)</f>
        <v/>
      </c>
    </row>
    <row r="13">
      <c r="B13" s="1">
        <f>(SUM(B5:B12))</f>
        <v/>
      </c>
      <c r="D13" s="54">
        <f>(SUM(D5:D12))</f>
        <v/>
      </c>
      <c r="R13" s="1">
        <f>(SUM(R5:R12))</f>
        <v/>
      </c>
      <c r="T13" s="54">
        <f>(SUM(T5:T12))</f>
        <v/>
      </c>
    </row>
    <row r="14"/>
    <row r="15"/>
    <row r="16"/>
    <row r="17"/>
    <row r="18">
      <c r="N18" s="1">
        <f>N6+N7+N8+B7</f>
        <v/>
      </c>
      <c r="O18" s="55">
        <f>N18*J3</f>
        <v/>
      </c>
    </row>
    <row r="19"/>
    <row r="20"/>
    <row r="21">
      <c r="E21" s="77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I15" sqref="I1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0.6083282218156327</v>
      </c>
      <c r="M3" t="inlineStr">
        <is>
          <t>Objectif :</t>
        </is>
      </c>
      <c r="N3" s="57">
        <f>(INDEX(N5:N21,MATCH(MAX(O6:O7),O5:O21,0))/0.9)</f>
        <v/>
      </c>
      <c r="O3" s="55">
        <f>(MAX(O6:O7)*0.85)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4">
        <f>(D5/B5)</f>
        <v/>
      </c>
      <c r="D5" s="54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4">
        <f>(T5/R5)</f>
        <v/>
      </c>
      <c r="T5" s="54">
        <f>D5</f>
        <v/>
      </c>
    </row>
    <row r="6">
      <c r="B6" s="2" t="n">
        <v>0.7210431899999999</v>
      </c>
      <c r="C6" s="59" t="n">
        <v>0</v>
      </c>
      <c r="D6" s="59">
        <f>(B6*C6)</f>
        <v/>
      </c>
      <c r="E6" s="54">
        <f>(B6*J3)</f>
        <v/>
      </c>
      <c r="M6" t="inlineStr">
        <is>
          <t>Objectif</t>
        </is>
      </c>
      <c r="N6" s="1">
        <f>-B10</f>
        <v/>
      </c>
      <c r="O6" s="54">
        <f>P6/N6</f>
        <v/>
      </c>
      <c r="P6" s="54">
        <f>-D10</f>
        <v/>
      </c>
      <c r="Q6" t="inlineStr">
        <is>
          <t>Done</t>
        </is>
      </c>
      <c r="R6" s="2">
        <f>(B6)</f>
        <v/>
      </c>
      <c r="S6" s="59" t="n">
        <v>0</v>
      </c>
      <c r="T6" s="59">
        <f>(D6)</f>
        <v/>
      </c>
      <c r="U6" s="54">
        <f>(R6*J3)</f>
        <v/>
      </c>
    </row>
    <row r="7">
      <c r="B7" s="1" t="n">
        <v>113.68280712</v>
      </c>
      <c r="C7" s="54">
        <f>(D7/B7)</f>
        <v/>
      </c>
      <c r="D7" s="54" t="n">
        <v>39.5</v>
      </c>
      <c r="E7" t="inlineStr">
        <is>
          <t>DCA2</t>
        </is>
      </c>
      <c r="N7" s="1">
        <f>-B11</f>
        <v/>
      </c>
      <c r="O7" s="54">
        <f>($S$7*Params!K9)</f>
        <v/>
      </c>
      <c r="P7" s="54">
        <f>-D11</f>
        <v/>
      </c>
      <c r="Q7" t="inlineStr">
        <is>
          <t>Done</t>
        </is>
      </c>
      <c r="R7" s="66">
        <f>B7+B10</f>
        <v/>
      </c>
      <c r="S7" s="54">
        <f>(T7/R7)</f>
        <v/>
      </c>
      <c r="T7" s="54">
        <f>D7+B10*0.3388</f>
        <v/>
      </c>
      <c r="U7" t="inlineStr">
        <is>
          <t>DCA2</t>
        </is>
      </c>
    </row>
    <row r="8">
      <c r="B8" s="1" t="n">
        <v>-3.1157</v>
      </c>
      <c r="C8" s="54">
        <f>(D8/B8)</f>
        <v/>
      </c>
      <c r="D8" s="54" t="n">
        <v>-1.00996341</v>
      </c>
      <c r="N8" s="1">
        <f>3*($B$13-B11-B10)/5-N7-N6</f>
        <v/>
      </c>
      <c r="O8" s="54">
        <f>($C$7*Params!K10)</f>
        <v/>
      </c>
      <c r="P8" s="54">
        <f>(O8*N8)</f>
        <v/>
      </c>
      <c r="R8" s="1">
        <f>(B8+B9)</f>
        <v/>
      </c>
      <c r="S8" s="54" t="n">
        <v>0</v>
      </c>
      <c r="T8" s="54">
        <f>D8+D9</f>
        <v/>
      </c>
    </row>
    <row r="9">
      <c r="B9" s="1" t="n">
        <v>3.76338608</v>
      </c>
      <c r="C9" s="54">
        <f>(D9/B9)</f>
        <v/>
      </c>
      <c r="D9" s="54" t="n">
        <v>1</v>
      </c>
      <c r="N9" s="1">
        <f>($B$13/5)</f>
        <v/>
      </c>
      <c r="O9" s="54">
        <f>($C$7*Params!K11)</f>
        <v/>
      </c>
      <c r="P9" s="54">
        <f>(O9*N9)</f>
        <v/>
      </c>
      <c r="R9" s="1">
        <f>B10-B10</f>
        <v/>
      </c>
      <c r="S9" s="55" t="n">
        <v>0</v>
      </c>
      <c r="T9" s="55">
        <f>D10-B10*0.3388</f>
        <v/>
      </c>
    </row>
    <row r="10">
      <c r="B10" s="1" t="n">
        <v>-22.57</v>
      </c>
      <c r="C10" s="55">
        <f>D10/B10</f>
        <v/>
      </c>
      <c r="D10" s="54" t="n">
        <v>-10.08242897</v>
      </c>
      <c r="N10" s="1" t="n"/>
      <c r="P10" s="54" t="n"/>
    </row>
    <row r="11">
      <c r="B11" s="1" t="n">
        <v>-22.5</v>
      </c>
      <c r="C11" s="55">
        <f>D11/B11</f>
        <v/>
      </c>
      <c r="D11" s="54" t="n">
        <v>-12.306</v>
      </c>
      <c r="P11" s="54">
        <f>(SUM(P6:P9))</f>
        <v/>
      </c>
    </row>
    <row r="12">
      <c r="F12" t="inlineStr">
        <is>
          <t>Moy</t>
        </is>
      </c>
      <c r="G12" s="76">
        <f>(D13/B13)</f>
        <v/>
      </c>
    </row>
    <row r="13">
      <c r="B13" s="1">
        <f>(SUM(B5:B12))</f>
        <v/>
      </c>
      <c r="D13" s="54">
        <f>(SUM(D5:D12))</f>
        <v/>
      </c>
      <c r="R13" s="1">
        <f>(SUM(R5:R12))</f>
        <v/>
      </c>
      <c r="T13" s="54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N13" sqref="N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6" t="n">
        <v>0.2017857156165331</v>
      </c>
      <c r="O3" s="55" t="n"/>
      <c r="P3" s="54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60.14</v>
      </c>
      <c r="C5" s="54">
        <f>(D5/B5)</f>
        <v/>
      </c>
      <c r="D5" s="54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4">
        <f>(T5/R5)</f>
        <v/>
      </c>
      <c r="T5" s="54">
        <f>D5</f>
        <v/>
      </c>
    </row>
    <row r="6">
      <c r="B6" s="2" t="n">
        <v>0.56286583</v>
      </c>
      <c r="C6" s="59" t="n">
        <v>0</v>
      </c>
      <c r="D6" s="59">
        <f>(B6*C6)</f>
        <v/>
      </c>
      <c r="E6" s="54">
        <f>(B6*J3)</f>
        <v/>
      </c>
      <c r="M6" t="inlineStr">
        <is>
          <t>Objectif</t>
        </is>
      </c>
      <c r="N6" s="66">
        <f>($B$14/5)</f>
        <v/>
      </c>
      <c r="O6" s="54">
        <f>($C$5*Params!K8)</f>
        <v/>
      </c>
      <c r="P6" s="54">
        <f>(O6*N6)</f>
        <v/>
      </c>
      <c r="R6" s="78">
        <f>(B6)</f>
        <v/>
      </c>
      <c r="S6" s="59" t="n">
        <v>0</v>
      </c>
      <c r="T6" s="59">
        <f>(D6)</f>
        <v/>
      </c>
      <c r="U6" s="54">
        <f>(E6)</f>
        <v/>
      </c>
    </row>
    <row r="7">
      <c r="B7" s="66" t="n">
        <v>-12.028</v>
      </c>
      <c r="C7" s="54">
        <f>(D7/B7)</f>
        <v/>
      </c>
      <c r="D7" s="54" t="n">
        <v>-2.549936</v>
      </c>
      <c r="N7" s="66">
        <f>($B$14/5)</f>
        <v/>
      </c>
      <c r="O7" s="54">
        <f>($C$5*Params!K9)</f>
        <v/>
      </c>
      <c r="P7" s="54">
        <f>(O7*N7)</f>
        <v/>
      </c>
      <c r="R7" s="66">
        <f>SUM(B7:B10)</f>
        <v/>
      </c>
      <c r="S7" s="54" t="n">
        <v>0</v>
      </c>
      <c r="T7" s="54">
        <f>SUM(D7:D10)</f>
        <v/>
      </c>
      <c r="U7" s="55" t="n"/>
    </row>
    <row r="8">
      <c r="B8" s="66" t="n">
        <v>-12</v>
      </c>
      <c r="C8" s="54">
        <f>(D8/B8)</f>
        <v/>
      </c>
      <c r="D8" s="54" t="n">
        <v>-3.06</v>
      </c>
      <c r="N8" s="66">
        <f>($B$14/5)</f>
        <v/>
      </c>
      <c r="O8" s="54">
        <f>($C$5*Params!K10)</f>
        <v/>
      </c>
      <c r="P8" s="54">
        <f>(O8*N8)</f>
        <v/>
      </c>
      <c r="R8" s="66" t="n"/>
      <c r="S8" s="54" t="n"/>
      <c r="T8" s="54" t="n"/>
    </row>
    <row r="9">
      <c r="B9" s="66" t="n">
        <v>13.39371616</v>
      </c>
      <c r="C9" s="54">
        <f>(D9/B9)</f>
        <v/>
      </c>
      <c r="D9" s="54" t="n">
        <v>2.8758</v>
      </c>
      <c r="N9" s="66">
        <f>($B$14/5)</f>
        <v/>
      </c>
      <c r="O9" s="54">
        <f>($C$5*Params!K11)</f>
        <v/>
      </c>
      <c r="P9" s="54">
        <f>(O9*N9)</f>
        <v/>
      </c>
    </row>
    <row r="10">
      <c r="B10" s="66" t="n">
        <v>13.23709339</v>
      </c>
      <c r="C10" s="54">
        <f>(D10/B10)</f>
        <v/>
      </c>
      <c r="D10" s="54" t="n">
        <v>2.41</v>
      </c>
    </row>
    <row r="11"/>
    <row r="12">
      <c r="P12" s="54">
        <f>(SUM(P6:P9))</f>
        <v/>
      </c>
    </row>
    <row r="13">
      <c r="F13" t="inlineStr">
        <is>
          <t>Moy</t>
        </is>
      </c>
      <c r="G13" s="54">
        <f>(D14/B14)</f>
        <v/>
      </c>
    </row>
    <row r="14">
      <c r="B14" s="66">
        <f>(SUM(B5:B13))</f>
        <v/>
      </c>
      <c r="D14" s="54">
        <f>(SUM(D5:D13))</f>
        <v/>
      </c>
    </row>
    <row r="15"/>
    <row r="16"/>
    <row r="17">
      <c r="N17" s="66" t="n"/>
      <c r="R17" s="66">
        <f>(SUM(R5:R16))</f>
        <v/>
      </c>
      <c r="T17" s="54">
        <f>(SUM(T5:T16))</f>
        <v/>
      </c>
    </row>
    <row r="18"/>
    <row r="19"/>
    <row r="20">
      <c r="K20" s="55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1.665807548784284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12.9689332</v>
      </c>
      <c r="C5" s="54">
        <f>(D5/B5)</f>
        <v/>
      </c>
      <c r="D5" s="54" t="n">
        <v>39.5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9" t="n">
        <v>0</v>
      </c>
      <c r="T5" s="60">
        <f>(D6)</f>
        <v/>
      </c>
      <c r="U5" s="54">
        <f>(R5*J3)</f>
        <v/>
      </c>
    </row>
    <row r="6">
      <c r="B6" s="78" t="n">
        <v>0.57717662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66">
        <f>(SUM(R5:R7)/5)</f>
        <v/>
      </c>
      <c r="O6" s="54">
        <f>($C$5*Params!K8)</f>
        <v/>
      </c>
      <c r="P6" s="54">
        <f>(O6*N6)</f>
        <v/>
      </c>
      <c r="R6" s="66">
        <f>(B5)</f>
        <v/>
      </c>
      <c r="S6" s="54">
        <f>(T6/R6)</f>
        <v/>
      </c>
      <c r="T6" s="54">
        <f>(D5)</f>
        <v/>
      </c>
      <c r="U6" t="inlineStr">
        <is>
          <t>DCA2</t>
        </is>
      </c>
    </row>
    <row r="7">
      <c r="B7" s="66" t="n">
        <v>-0.2273</v>
      </c>
      <c r="C7" s="54">
        <f>(D7/B7)</f>
        <v/>
      </c>
      <c r="D7" s="54" t="n">
        <v>-1.125135</v>
      </c>
      <c r="N7" s="66">
        <f>(SUM(R5:R7)/5)</f>
        <v/>
      </c>
      <c r="O7" s="54">
        <f>($C$5*Params!K9)</f>
        <v/>
      </c>
      <c r="P7" s="54">
        <f>(O7*N7)</f>
        <v/>
      </c>
      <c r="R7" s="66">
        <f>(SUM(B7:B12))</f>
        <v/>
      </c>
      <c r="S7" s="54" t="n">
        <v>0</v>
      </c>
      <c r="T7" s="54">
        <f>(SUM(D7:D12))</f>
        <v/>
      </c>
      <c r="U7" s="55">
        <f>-T7+R7*J3</f>
        <v/>
      </c>
    </row>
    <row r="8">
      <c r="B8" s="66" t="n">
        <v>-0.305</v>
      </c>
      <c r="C8" s="54">
        <f>(D8/B8)</f>
        <v/>
      </c>
      <c r="D8" s="54" t="n">
        <v>-1.91101378</v>
      </c>
      <c r="N8" s="66">
        <f>(SUM(R5:R7)/5)</f>
        <v/>
      </c>
      <c r="O8" s="54">
        <f>($C$5*Params!K10)</f>
        <v/>
      </c>
      <c r="P8" s="54">
        <f>(O8*N8)</f>
        <v/>
      </c>
    </row>
    <row r="9">
      <c r="B9" s="66" t="n">
        <v>0.34203371</v>
      </c>
      <c r="C9" s="54">
        <f>(D9/B9)</f>
        <v/>
      </c>
      <c r="D9" s="54" t="n">
        <v>1.8</v>
      </c>
      <c r="N9" s="66">
        <f>(SUM(R5:R7)/5)</f>
        <v/>
      </c>
      <c r="O9" s="54">
        <f>($C$5*Params!K11)</f>
        <v/>
      </c>
      <c r="P9" s="54">
        <f>(O9*N9)</f>
        <v/>
      </c>
    </row>
    <row r="10">
      <c r="B10" s="66" t="n">
        <v>0.25620803</v>
      </c>
      <c r="C10" s="54">
        <f>(D10/B10)</f>
        <v/>
      </c>
      <c r="D10" s="54" t="n">
        <v>1.06</v>
      </c>
    </row>
    <row r="11">
      <c r="B11" s="66" t="n">
        <v>-0.4</v>
      </c>
      <c r="C11" s="54">
        <f>(D11/B11)</f>
        <v/>
      </c>
      <c r="D11" s="54" t="n">
        <v>-1.66251396</v>
      </c>
      <c r="P11" s="54">
        <f>(SUM(P6:P9))</f>
        <v/>
      </c>
    </row>
    <row r="12">
      <c r="B12" s="66" t="n">
        <v>0.4</v>
      </c>
      <c r="C12" s="54">
        <f>(D12/B12)</f>
        <v/>
      </c>
      <c r="D12" s="54">
        <f>(1.64908115)</f>
        <v/>
      </c>
    </row>
    <row r="13">
      <c r="F13" t="inlineStr">
        <is>
          <t>Moy</t>
        </is>
      </c>
      <c r="G13" s="54">
        <f>(D14/B14)</f>
        <v/>
      </c>
    </row>
    <row r="14">
      <c r="B14" s="66">
        <f>(SUM(B5:B13))</f>
        <v/>
      </c>
      <c r="D14" s="54">
        <f>(SUM(D5:D13))</f>
        <v/>
      </c>
      <c r="R14" s="66">
        <f>(SUM(R5:R13))</f>
        <v/>
      </c>
      <c r="T14" s="54">
        <f>(SUM(T5:T13))</f>
        <v/>
      </c>
    </row>
    <row r="15"/>
    <row r="16"/>
    <row r="17"/>
    <row r="18"/>
    <row r="19"/>
    <row r="20"/>
    <row r="21"/>
    <row r="22">
      <c r="D22" s="66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I41" sqref="I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10.89636957893577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</row>
    <row r="5">
      <c r="B5" s="66" t="n">
        <v>1.11</v>
      </c>
      <c r="C5" s="54">
        <f>(D5/B5)</f>
        <v/>
      </c>
      <c r="D5" s="54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6" t="n">
        <v>0.08793607000000001</v>
      </c>
      <c r="C6" s="54" t="n">
        <v>0</v>
      </c>
      <c r="D6" s="54">
        <f>(B6*C6)</f>
        <v/>
      </c>
      <c r="E6" s="54">
        <f>(B6*J3)</f>
        <v/>
      </c>
      <c r="M6" t="inlineStr">
        <is>
          <t>Objectif</t>
        </is>
      </c>
      <c r="N6" s="1">
        <f>(SUM($B$5:$B$7)/5)</f>
        <v/>
      </c>
      <c r="O6" s="54">
        <f>($C$5*Params!K8)</f>
        <v/>
      </c>
      <c r="P6" s="54">
        <f>(O6*N6)</f>
        <v/>
      </c>
    </row>
    <row r="7">
      <c r="B7" s="78" t="n">
        <v>0.02608738</v>
      </c>
      <c r="C7" s="59" t="n">
        <v>0</v>
      </c>
      <c r="D7" s="60">
        <f>(C7*B7)</f>
        <v/>
      </c>
      <c r="E7" s="54">
        <f>(B7*J4)</f>
        <v/>
      </c>
      <c r="N7" s="1">
        <f>(SUM($B$5:$B$7)/5)</f>
        <v/>
      </c>
      <c r="O7" s="54">
        <f>($C$5*Params!K9)</f>
        <v/>
      </c>
      <c r="P7" s="54">
        <f>(O7*N7)</f>
        <v/>
      </c>
    </row>
    <row r="8">
      <c r="N8" s="1">
        <f>(SUM($B$5:$B$7)/5)</f>
        <v/>
      </c>
      <c r="O8" s="54">
        <f>($C$5*Params!K10)</f>
        <v/>
      </c>
      <c r="P8" s="54">
        <f>(O8*N8)</f>
        <v/>
      </c>
    </row>
    <row r="9">
      <c r="N9" s="1">
        <f>(SUM($B$5:$B$7)/5)</f>
        <v/>
      </c>
      <c r="O9" s="54">
        <f>($C$5*Params!K11)</f>
        <v/>
      </c>
      <c r="P9" s="54">
        <f>(O9*N9)</f>
        <v/>
      </c>
    </row>
    <row r="10"/>
    <row r="11"/>
    <row r="12">
      <c r="P12" s="54">
        <f>(SUM(P6:P9))</f>
        <v/>
      </c>
    </row>
    <row r="13">
      <c r="F13" t="inlineStr">
        <is>
          <t>Moy</t>
        </is>
      </c>
      <c r="G13" s="54">
        <f>(D14/B14)</f>
        <v/>
      </c>
    </row>
    <row r="14">
      <c r="B14" s="19">
        <f>(SUM(B5:B13))</f>
        <v/>
      </c>
      <c r="D14" s="54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V25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40.92910862902193</v>
      </c>
      <c r="M3" t="inlineStr">
        <is>
          <t>Objectif :</t>
        </is>
      </c>
      <c r="N3" s="57">
        <f>(INDEX(N5:N23,MATCH(MAX(O20:O22,O6:O7),O5:O23,0))/0.9)</f>
        <v/>
      </c>
      <c r="O3" s="55">
        <f>(MAX(O20:O22,O6:O8)*0.85)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7" t="n">
        <v>2.51858807</v>
      </c>
      <c r="C5" s="54">
        <f>(D5/B5)</f>
        <v/>
      </c>
      <c r="D5" s="54" t="n">
        <v>39.5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8">
        <f>(B6)</f>
        <v/>
      </c>
      <c r="S5" s="59" t="n">
        <v>0</v>
      </c>
      <c r="T5" s="60">
        <f>(D6)</f>
        <v/>
      </c>
      <c r="U5" s="54">
        <f>(R5*J3)</f>
        <v/>
      </c>
    </row>
    <row r="6">
      <c r="B6" s="58" t="n">
        <v>0.01579934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57">
        <f>($B$5+$R$7)/5</f>
        <v/>
      </c>
      <c r="O6" s="54">
        <f>($C$5*Params!K8)</f>
        <v/>
      </c>
      <c r="P6" s="54">
        <f>(O6*N6)</f>
        <v/>
      </c>
      <c r="Q6" t="inlineStr">
        <is>
          <t>Done</t>
        </is>
      </c>
      <c r="R6" s="57">
        <f>B5+B13+B15+B17</f>
        <v/>
      </c>
      <c r="S6" s="54">
        <f>(T6/R6)</f>
        <v/>
      </c>
      <c r="T6" s="54">
        <f>D5-(-B13-B15)*15.13+B17*15.25</f>
        <v/>
      </c>
      <c r="U6" t="inlineStr">
        <is>
          <t>DCA2</t>
        </is>
      </c>
    </row>
    <row r="7">
      <c r="B7" s="57" t="n">
        <v>-0.0717</v>
      </c>
      <c r="C7" s="54">
        <f>(D7/B7)</f>
        <v/>
      </c>
      <c r="D7" s="54" t="n">
        <v>-1.132143</v>
      </c>
      <c r="N7" s="57">
        <f>-B15</f>
        <v/>
      </c>
      <c r="O7" s="54">
        <f>P7/N7</f>
        <v/>
      </c>
      <c r="P7" s="54">
        <f>-D15</f>
        <v/>
      </c>
      <c r="Q7" t="inlineStr">
        <is>
          <t>Done</t>
        </is>
      </c>
      <c r="R7" s="57">
        <f>(B7+B11+B8+B9)</f>
        <v/>
      </c>
      <c r="S7" s="54" t="n">
        <v>0</v>
      </c>
      <c r="T7" s="54">
        <f>D7+D11+D8+D9</f>
        <v/>
      </c>
      <c r="U7" t="inlineStr">
        <is>
          <t>DCA2 *</t>
        </is>
      </c>
      <c r="V7" s="55">
        <f>-T7+R7*J3</f>
        <v/>
      </c>
    </row>
    <row r="8">
      <c r="B8" t="n">
        <v>-0.114356</v>
      </c>
      <c r="C8" s="54">
        <f>(D8/B8)</f>
        <v/>
      </c>
      <c r="D8" s="54" t="n">
        <v>-2.35151189</v>
      </c>
      <c r="N8" s="57">
        <f>-B17</f>
        <v/>
      </c>
      <c r="O8" s="54">
        <f>P8/N8</f>
        <v/>
      </c>
      <c r="P8" s="54">
        <f>-D17</f>
        <v/>
      </c>
      <c r="Q8" t="inlineStr">
        <is>
          <t>Done</t>
        </is>
      </c>
      <c r="R8" s="57">
        <f>(B10)+B12+B14+B16</f>
        <v/>
      </c>
      <c r="S8" s="54">
        <f>(T8/R8)</f>
        <v/>
      </c>
      <c r="T8" s="54">
        <f>(D10)-(-B12-B14-B16)*14.31</f>
        <v/>
      </c>
      <c r="U8">
        <f>E10</f>
        <v/>
      </c>
    </row>
    <row r="9">
      <c r="B9" s="57" t="n">
        <v>0.1272787</v>
      </c>
      <c r="C9" s="54">
        <f>(D9/B9)</f>
        <v/>
      </c>
      <c r="D9" s="54" t="n">
        <v>2.22</v>
      </c>
      <c r="N9" s="57">
        <f>4*($B$5+$R$7+R5)/5-N6-N7-N8</f>
        <v/>
      </c>
      <c r="O9" s="54">
        <f>($S$6*Params!K11)</f>
        <v/>
      </c>
      <c r="P9" s="54">
        <f>(O9*N9)</f>
        <v/>
      </c>
      <c r="R9" s="57">
        <f>B12-B12</f>
        <v/>
      </c>
      <c r="S9" s="55" t="n">
        <v>0</v>
      </c>
      <c r="T9" s="55">
        <f>D12-B12*14.31</f>
        <v/>
      </c>
    </row>
    <row r="10">
      <c r="B10" s="57" t="n">
        <v>0.70187245</v>
      </c>
      <c r="C10" s="54">
        <f>(D10/B10)</f>
        <v/>
      </c>
      <c r="D10" s="54" t="n">
        <v>10.35</v>
      </c>
      <c r="E10" t="inlineStr">
        <is>
          <t>DCA4</t>
        </is>
      </c>
      <c r="R10" s="57">
        <f>B13-B13</f>
        <v/>
      </c>
      <c r="S10" s="55" t="n">
        <v>0</v>
      </c>
      <c r="T10" s="55">
        <f>D13-B13*15.13</f>
        <v/>
      </c>
    </row>
    <row r="11">
      <c r="B11" s="57" t="n">
        <v>0.09107438</v>
      </c>
      <c r="C11" s="54">
        <f>(D11/B11)</f>
        <v/>
      </c>
      <c r="D11" s="54" t="n">
        <v>1.06</v>
      </c>
      <c r="P11" s="54">
        <f>(SUM(P6:P9))</f>
        <v/>
      </c>
      <c r="R11" s="57">
        <f>B14-B14</f>
        <v/>
      </c>
      <c r="S11" s="55" t="n">
        <v>0</v>
      </c>
      <c r="T11" s="55">
        <f>D14-B14*14.31</f>
        <v/>
      </c>
    </row>
    <row r="12">
      <c r="B12" s="57" t="n">
        <v>-0.1375</v>
      </c>
      <c r="C12" s="54">
        <f>(D12/B12)</f>
        <v/>
      </c>
      <c r="D12" s="54" t="n">
        <v>-2.54918818</v>
      </c>
      <c r="P12" s="54" t="n"/>
      <c r="R12" s="57">
        <f>B15-B15</f>
        <v/>
      </c>
      <c r="S12" s="55" t="n">
        <v>0</v>
      </c>
      <c r="T12" s="55">
        <f>D15-B15*15.13</f>
        <v/>
      </c>
    </row>
    <row r="13">
      <c r="B13" s="57" t="n">
        <v>-0.4967</v>
      </c>
      <c r="C13" s="54">
        <f>(D13/B13)</f>
        <v/>
      </c>
      <c r="D13" s="54" t="n">
        <v>-10.84507767</v>
      </c>
      <c r="P13" s="54" t="n"/>
      <c r="R13" s="57">
        <f>B16-B16</f>
        <v/>
      </c>
      <c r="S13" s="55" t="n">
        <v>0</v>
      </c>
      <c r="T13" s="55">
        <f>D16-B16*14.31</f>
        <v/>
      </c>
    </row>
    <row r="14">
      <c r="B14" s="57" t="n">
        <v>-0.137</v>
      </c>
      <c r="C14" s="54">
        <f>(D14/B14)</f>
        <v/>
      </c>
      <c r="D14" s="54">
        <f>-3.12512811</f>
        <v/>
      </c>
      <c r="P14" s="54" t="n"/>
      <c r="R14" s="57">
        <f>B17-B17</f>
        <v/>
      </c>
      <c r="T14" s="55">
        <f>D17-B17*15.25</f>
        <v/>
      </c>
    </row>
    <row r="15">
      <c r="B15" s="57" t="n">
        <v>-0.4967</v>
      </c>
      <c r="C15" s="54">
        <f>(D15/B15)</f>
        <v/>
      </c>
      <c r="D15" s="54" t="n">
        <v>-12.12691623</v>
      </c>
      <c r="P15" s="54" t="n"/>
    </row>
    <row r="16">
      <c r="B16" s="57" t="n">
        <v>-0.138</v>
      </c>
      <c r="C16" s="54">
        <f>(D16/B16)</f>
        <v/>
      </c>
      <c r="D16" s="54" t="n">
        <v>-4.41956614</v>
      </c>
      <c r="P16" s="54" t="n"/>
    </row>
    <row r="17">
      <c r="B17" s="57" t="n">
        <v>-0.5049</v>
      </c>
      <c r="C17" s="54">
        <f>(D17/B17)</f>
        <v/>
      </c>
      <c r="D17" s="54" t="n">
        <v>-18.26254246</v>
      </c>
      <c r="P17" s="54" t="n"/>
    </row>
    <row r="18">
      <c r="F18" t="inlineStr">
        <is>
          <t>Moy</t>
        </is>
      </c>
      <c r="G18" s="54">
        <f>(D19/B19)</f>
        <v/>
      </c>
    </row>
    <row r="19">
      <c r="B19" s="57">
        <f>(SUM(B5:B18))</f>
        <v/>
      </c>
      <c r="D19" s="54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57">
        <f>(SUM(R5:R18))</f>
        <v/>
      </c>
      <c r="T19" s="54">
        <f>(SUM(T5:T18))</f>
        <v/>
      </c>
    </row>
    <row r="20">
      <c r="M20" t="inlineStr">
        <is>
          <t>Objectif</t>
        </is>
      </c>
      <c r="N20" s="57">
        <f>-B12</f>
        <v/>
      </c>
      <c r="O20" s="54">
        <f>18.6</f>
        <v/>
      </c>
      <c r="P20" s="54">
        <f>-D12</f>
        <v/>
      </c>
      <c r="Q20" t="inlineStr">
        <is>
          <t>Done</t>
        </is>
      </c>
    </row>
    <row r="21">
      <c r="N21" s="57">
        <f>-B14</f>
        <v/>
      </c>
      <c r="O21" s="54">
        <f>C14</f>
        <v/>
      </c>
      <c r="P21" s="54">
        <f>-D14</f>
        <v/>
      </c>
      <c r="Q21" t="inlineStr">
        <is>
          <t>Done</t>
        </is>
      </c>
    </row>
    <row r="22">
      <c r="N22" s="57">
        <f>-B16</f>
        <v/>
      </c>
      <c r="O22" s="54">
        <f>C16</f>
        <v/>
      </c>
      <c r="P22" s="54">
        <f>-D16</f>
        <v/>
      </c>
      <c r="Q22" t="inlineStr">
        <is>
          <t>Done</t>
        </is>
      </c>
    </row>
    <row r="23">
      <c r="N23" s="57">
        <f>4*($B$10)/5-N20-N21-N22</f>
        <v/>
      </c>
      <c r="O23" s="54">
        <f>($S$8*Params!K11)</f>
        <v/>
      </c>
      <c r="P23" s="54">
        <f>(O23*N23)</f>
        <v/>
      </c>
    </row>
    <row r="24"/>
    <row r="25">
      <c r="P25" s="54">
        <f>(SUM(P20:P23))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T15"/>
  <sheetViews>
    <sheetView workbookViewId="0">
      <selection activeCell="R6" sqref="R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79" t="n">
        <v>0.003885103859275798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79">
        <f>(D5/B5)</f>
        <v/>
      </c>
      <c r="D5" s="54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79">
        <f>(T5/R5)</f>
        <v/>
      </c>
      <c r="T5" s="55">
        <f>(D5)</f>
        <v/>
      </c>
    </row>
    <row r="6">
      <c r="B6" s="19" t="n">
        <v>-170.21276596</v>
      </c>
      <c r="C6" s="79">
        <f>(D6/B6)</f>
        <v/>
      </c>
      <c r="D6" s="54" t="n">
        <v>-0.778379</v>
      </c>
      <c r="M6" t="inlineStr">
        <is>
          <t>Objectif</t>
        </is>
      </c>
      <c r="N6" s="19">
        <f>(($B$5+$R$6)/5)</f>
        <v/>
      </c>
      <c r="O6" s="79">
        <f>($C$5*Params!K8)</f>
        <v/>
      </c>
      <c r="P6" s="54">
        <f>(O6*N6)</f>
        <v/>
      </c>
      <c r="R6" s="19">
        <f>(SUM(B6:B11))</f>
        <v/>
      </c>
      <c r="S6" s="79" t="n">
        <v>0</v>
      </c>
      <c r="T6" s="55">
        <f>(SUM(D6:D11))</f>
        <v/>
      </c>
    </row>
    <row r="7">
      <c r="B7" s="19" t="n">
        <v>-175.57251908</v>
      </c>
      <c r="C7" s="79">
        <f>(D7/B7)</f>
        <v/>
      </c>
      <c r="D7" s="54" t="n">
        <v>-0.893567</v>
      </c>
      <c r="N7" s="19">
        <f>(($B$5+$R$6)/5)</f>
        <v/>
      </c>
      <c r="O7" s="79">
        <f>($C$5*Params!K9)</f>
        <v/>
      </c>
      <c r="P7" s="54">
        <f>(O7*N7)</f>
        <v/>
      </c>
      <c r="S7" s="79" t="n"/>
    </row>
    <row r="8">
      <c r="B8" s="19" t="n">
        <v>-167.7852349</v>
      </c>
      <c r="C8" s="79">
        <f>(D8/B8)</f>
        <v/>
      </c>
      <c r="D8" s="54" t="n">
        <v>-1.213721</v>
      </c>
      <c r="N8" s="19">
        <f>(($B$5+$R$6)/5)</f>
        <v/>
      </c>
      <c r="O8" s="79">
        <f>($C$5*Params!K10)</f>
        <v/>
      </c>
      <c r="P8" s="54">
        <f>(O8*N8)</f>
        <v/>
      </c>
    </row>
    <row r="9">
      <c r="B9" s="19" t="n">
        <v>196.03891277</v>
      </c>
      <c r="C9" s="79">
        <f>(D9/B9)</f>
        <v/>
      </c>
      <c r="D9" s="54" t="n">
        <v>1.130011</v>
      </c>
      <c r="N9" s="19">
        <f>(($B$5+$R$6)/5)</f>
        <v/>
      </c>
      <c r="O9" s="79">
        <f>($C$5*Params!K11)</f>
        <v/>
      </c>
      <c r="P9" s="54">
        <f>(O9*N9)</f>
        <v/>
      </c>
    </row>
    <row r="10">
      <c r="B10" s="19" t="n">
        <v>197.79050008</v>
      </c>
      <c r="C10" s="79">
        <f>(D10/B10)</f>
        <v/>
      </c>
      <c r="D10" s="54" t="n">
        <v>0.85006</v>
      </c>
    </row>
    <row r="11">
      <c r="B11" s="19" t="n">
        <v>191.37734579</v>
      </c>
      <c r="C11" s="79">
        <f>(D11/B11)</f>
        <v/>
      </c>
      <c r="D11" s="54" t="n">
        <v>0.737757</v>
      </c>
    </row>
    <row r="12">
      <c r="F12" t="inlineStr">
        <is>
          <t>Moy</t>
        </is>
      </c>
      <c r="G12" s="79">
        <f>(D13/B13)</f>
        <v/>
      </c>
      <c r="P12" s="54">
        <f>(SUM(P6:P9))</f>
        <v/>
      </c>
    </row>
    <row r="13">
      <c r="B13">
        <f>(SUM(B5:B12))</f>
        <v/>
      </c>
      <c r="D13" s="55">
        <f>(SUM(D5:D12))</f>
        <v/>
      </c>
    </row>
    <row r="15">
      <c r="R15">
        <f>(SUM(R5:R14))</f>
        <v/>
      </c>
      <c r="T15" s="55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S4" sqref="S4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4" t="n">
        <v>245.068949217899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0" t="n">
        <v>0.00021512</v>
      </c>
      <c r="C5" s="54" t="n">
        <v>244</v>
      </c>
      <c r="D5" s="54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0">
        <f>(B5+B13+B9)</f>
        <v/>
      </c>
      <c r="S5" s="54">
        <f>(T5/R5)</f>
        <v/>
      </c>
      <c r="T5" s="54">
        <f>(D5+D13+D9)</f>
        <v/>
      </c>
    </row>
    <row r="6">
      <c r="B6" s="80" t="n">
        <v>0.00664788</v>
      </c>
      <c r="C6" s="54" t="n">
        <v>373</v>
      </c>
      <c r="D6" s="54">
        <f>(C6*B6)</f>
        <v/>
      </c>
      <c r="M6" t="inlineStr">
        <is>
          <t>Objectif</t>
        </is>
      </c>
      <c r="N6" s="57">
        <f>($R$8/5)</f>
        <v/>
      </c>
      <c r="O6" s="54">
        <f>($S$8*Params!K8)</f>
        <v/>
      </c>
      <c r="P6" s="54">
        <f>(O6*N6)</f>
        <v/>
      </c>
      <c r="R6" s="80">
        <f>(B6)</f>
        <v/>
      </c>
      <c r="S6" s="54">
        <f>(C6)</f>
        <v/>
      </c>
      <c r="T6" s="54">
        <f>(R6*S6)</f>
        <v/>
      </c>
    </row>
    <row r="7">
      <c r="B7" s="80" t="n">
        <v>0.000235</v>
      </c>
      <c r="C7" s="54" t="n">
        <v>0</v>
      </c>
      <c r="D7" s="54" t="n">
        <v>0</v>
      </c>
      <c r="E7" s="54">
        <f>(B7*J3)</f>
        <v/>
      </c>
      <c r="I7" t="inlineStr">
        <is>
          <t>Objectif</t>
        </is>
      </c>
      <c r="J7" t="n">
        <v>1</v>
      </c>
      <c r="N7" s="57">
        <f>($R$8/5)</f>
        <v/>
      </c>
      <c r="O7" s="54">
        <f>($S$8*Params!K9)</f>
        <v/>
      </c>
      <c r="P7" s="54">
        <f>(O7*N7)</f>
        <v/>
      </c>
      <c r="R7" s="80">
        <f>(B7+B8+B10)</f>
        <v/>
      </c>
      <c r="S7" s="54">
        <f>(C7)</f>
        <v/>
      </c>
      <c r="T7" s="54">
        <f>(R7*S7)</f>
        <v/>
      </c>
    </row>
    <row r="8">
      <c r="B8" s="80" t="n">
        <v>9.498e-05</v>
      </c>
      <c r="C8" s="54" t="n">
        <v>0</v>
      </c>
      <c r="D8" s="54" t="n">
        <v>0</v>
      </c>
      <c r="E8" s="54">
        <f>(B8*J3)</f>
        <v/>
      </c>
      <c r="I8" t="inlineStr">
        <is>
          <t>Difference</t>
        </is>
      </c>
      <c r="J8" s="80">
        <f>(J7-B17)</f>
        <v/>
      </c>
      <c r="N8" s="57">
        <f>($R$8/5)</f>
        <v/>
      </c>
      <c r="O8" s="54">
        <f>($S$8*Params!K10)</f>
        <v/>
      </c>
      <c r="P8" s="54">
        <f>(O8*N8)</f>
        <v/>
      </c>
      <c r="R8" s="80">
        <f>(B11)</f>
        <v/>
      </c>
      <c r="S8" s="54">
        <f>(C11)</f>
        <v/>
      </c>
      <c r="T8" s="54">
        <f>(R8*S8)</f>
        <v/>
      </c>
      <c r="U8" t="inlineStr">
        <is>
          <t>DCA1</t>
        </is>
      </c>
    </row>
    <row r="9">
      <c r="B9" s="80" t="n">
        <v>9.092e-05</v>
      </c>
      <c r="C9" s="54" t="n">
        <v>276</v>
      </c>
      <c r="D9" s="54">
        <f>(B9*C9)</f>
        <v/>
      </c>
      <c r="E9" s="54" t="n"/>
      <c r="I9" t="inlineStr">
        <is>
          <t>Diff in $</t>
        </is>
      </c>
      <c r="J9" s="61">
        <f>(J8*J3)</f>
        <v/>
      </c>
      <c r="N9" s="57">
        <f>($R$8/5)</f>
        <v/>
      </c>
      <c r="O9" s="54">
        <f>($S$8*Params!K11)</f>
        <v/>
      </c>
      <c r="P9" s="54">
        <f>(O9*N9)</f>
        <v/>
      </c>
      <c r="R9" s="80">
        <f>(B12)</f>
        <v/>
      </c>
      <c r="S9" s="54">
        <f>(C12)</f>
        <v/>
      </c>
      <c r="T9" s="54">
        <f>(R9*S9)</f>
        <v/>
      </c>
      <c r="U9" t="inlineStr">
        <is>
          <t>DCA2</t>
        </is>
      </c>
    </row>
    <row r="10">
      <c r="B10" s="81" t="n">
        <v>0.00226452</v>
      </c>
      <c r="C10" s="59" t="n">
        <v>0</v>
      </c>
      <c r="D10" s="60" t="n">
        <v>0</v>
      </c>
      <c r="E10" s="54">
        <f>(B10*J3)</f>
        <v/>
      </c>
      <c r="P10" s="54" t="n"/>
      <c r="R10" s="80">
        <f>B14+B15</f>
        <v/>
      </c>
      <c r="S10" s="54" t="n">
        <v>0</v>
      </c>
      <c r="T10" s="55">
        <f>D14+D15</f>
        <v/>
      </c>
    </row>
    <row r="11">
      <c r="B11" s="80" t="n">
        <v>0.55987547</v>
      </c>
      <c r="C11" s="54">
        <f>(D11/B11)</f>
        <v/>
      </c>
      <c r="D11" s="54" t="n">
        <v>158.97</v>
      </c>
      <c r="E11" t="inlineStr">
        <is>
          <t>DCA1</t>
        </is>
      </c>
      <c r="P11" s="54">
        <f>(SUM(P6:P9))</f>
        <v/>
      </c>
    </row>
    <row r="12">
      <c r="B12" s="80" t="n">
        <v>0.13877636</v>
      </c>
      <c r="C12" s="54">
        <f>(D12/B12)</f>
        <v/>
      </c>
      <c r="D12" s="54" t="n">
        <v>39.5</v>
      </c>
      <c r="E12" t="inlineStr">
        <is>
          <t>DCA2</t>
        </is>
      </c>
    </row>
    <row r="13">
      <c r="B13" s="80" t="n">
        <v>0.0020117</v>
      </c>
      <c r="C13" s="54">
        <f>(D13/B13)</f>
        <v/>
      </c>
      <c r="D13" s="54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0" t="n">
        <v>0.29477874</v>
      </c>
      <c r="C14" s="54">
        <f>(D14/B14)</f>
        <v/>
      </c>
      <c r="D14" s="54">
        <f>39.9285+28.954</f>
        <v/>
      </c>
      <c r="M14" t="inlineStr">
        <is>
          <t>Objectif</t>
        </is>
      </c>
      <c r="N14" s="57">
        <f>($R$9/5)</f>
        <v/>
      </c>
      <c r="O14" s="54">
        <f>($S$9*Params!K8)</f>
        <v/>
      </c>
      <c r="P14" s="54">
        <f>(O14*N14)</f>
        <v/>
      </c>
    </row>
    <row r="15">
      <c r="B15" s="80" t="n">
        <v>-0.294</v>
      </c>
      <c r="C15" s="54">
        <f>(D15/B15)</f>
        <v/>
      </c>
      <c r="D15" s="54" t="n">
        <v>-71.95797</v>
      </c>
      <c r="N15" s="57">
        <f>($R$9/5)</f>
        <v/>
      </c>
      <c r="O15" s="54">
        <f>($S$9*Params!K9)</f>
        <v/>
      </c>
      <c r="P15" s="54">
        <f>(O15*N15)</f>
        <v/>
      </c>
    </row>
    <row r="16">
      <c r="N16" s="57">
        <f>($R$9/5)</f>
        <v/>
      </c>
      <c r="O16" s="54">
        <f>($S$9*Params!K10)</f>
        <v/>
      </c>
      <c r="P16" s="54">
        <f>(O16*N16)</f>
        <v/>
      </c>
    </row>
    <row r="17">
      <c r="B17" s="80">
        <f>(SUM(B5:B16))</f>
        <v/>
      </c>
      <c r="D17" s="54">
        <f>(SUM(D5:D16))</f>
        <v/>
      </c>
      <c r="F17" t="inlineStr">
        <is>
          <t>Moy</t>
        </is>
      </c>
      <c r="G17" s="54">
        <f>(SUM(D5:D16)/SUM(B5:B16))</f>
        <v/>
      </c>
      <c r="N17" s="57">
        <f>($R$9/5)</f>
        <v/>
      </c>
      <c r="O17" s="54">
        <f>($S$9*Params!K11)</f>
        <v/>
      </c>
      <c r="P17" s="54">
        <f>(O17*N17)</f>
        <v/>
      </c>
    </row>
    <row r="18">
      <c r="P18" s="54" t="n"/>
    </row>
    <row r="19">
      <c r="P19" s="54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57">
        <f>(($R$5+$R$7)/5)</f>
        <v/>
      </c>
      <c r="O22" s="54">
        <f>($S$5*Params!K8)</f>
        <v/>
      </c>
      <c r="P22" s="54">
        <f>(O22*N22)</f>
        <v/>
      </c>
    </row>
    <row r="23">
      <c r="N23" s="57">
        <f>(($R$5+$R$7)/5)</f>
        <v/>
      </c>
      <c r="O23" s="54">
        <f>($S$5*Params!K9)</f>
        <v/>
      </c>
      <c r="P23" s="54">
        <f>(O23*N23)</f>
        <v/>
      </c>
    </row>
    <row r="24">
      <c r="N24" s="57">
        <f>(($R$5+$R$7)/5)</f>
        <v/>
      </c>
      <c r="O24" s="54">
        <f>($S$5*Params!K10)</f>
        <v/>
      </c>
      <c r="P24" s="54">
        <f>(O24*N24)</f>
        <v/>
      </c>
    </row>
    <row r="25">
      <c r="N25" s="57">
        <f>(($R$5+$R$7)/5)</f>
        <v/>
      </c>
      <c r="O25" s="54">
        <f>($S$5*Params!K11)</f>
        <v/>
      </c>
      <c r="P25" s="54">
        <f>(O25*N25)</f>
        <v/>
      </c>
    </row>
    <row r="26">
      <c r="P26" s="54" t="n"/>
    </row>
    <row r="27">
      <c r="P27" s="54">
        <f>(SUM(P22:P25))</f>
        <v/>
      </c>
    </row>
    <row r="28"/>
    <row r="29"/>
    <row r="30"/>
    <row r="31"/>
    <row r="32"/>
    <row r="33"/>
    <row r="34"/>
    <row r="35"/>
    <row r="36"/>
    <row r="37">
      <c r="R37" s="80">
        <f>(SUM(R5:R27))</f>
        <v/>
      </c>
      <c r="T37" s="54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2:O2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C5" sqref="C5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2" t="n">
        <v>0.09319964030782846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</row>
    <row r="5">
      <c r="B5" s="66" t="n">
        <v>61.11911839</v>
      </c>
      <c r="C5" s="76">
        <f>(D5/B5)</f>
        <v/>
      </c>
      <c r="D5" s="54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8" t="n">
        <v>0.27544312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66">
        <f>($B$13/5)</f>
        <v/>
      </c>
      <c r="O6" s="54">
        <f>($C$5*Params!K8)</f>
        <v/>
      </c>
      <c r="P6" s="54">
        <f>(O6*N6)</f>
        <v/>
      </c>
    </row>
    <row r="7">
      <c r="N7" s="66">
        <f>($B$13/5)</f>
        <v/>
      </c>
      <c r="O7" s="54">
        <f>($C$5*Params!K9)</f>
        <v/>
      </c>
      <c r="P7" s="54">
        <f>(O7*N7)</f>
        <v/>
      </c>
    </row>
    <row r="8">
      <c r="N8" s="66">
        <f>($B$13/5)</f>
        <v/>
      </c>
      <c r="O8" s="54">
        <f>($C$5*Params!K10)</f>
        <v/>
      </c>
      <c r="P8" s="54">
        <f>(O8*N8)</f>
        <v/>
      </c>
    </row>
    <row r="9">
      <c r="N9" s="66">
        <f>($B$13/5)</f>
        <v/>
      </c>
      <c r="O9" s="54">
        <f>($C$5*Params!K11)</f>
        <v/>
      </c>
      <c r="P9" s="54">
        <f>(O9*N9)</f>
        <v/>
      </c>
    </row>
    <row r="10"/>
    <row r="11">
      <c r="P11" s="54">
        <f>(SUM(P6:P9))</f>
        <v/>
      </c>
    </row>
    <row r="12">
      <c r="F12" t="inlineStr">
        <is>
          <t>Moy</t>
        </is>
      </c>
      <c r="G12" s="54">
        <f>(D13/B13)</f>
        <v/>
      </c>
    </row>
    <row r="13">
      <c r="B13" s="66">
        <f>(SUM(B5:B12))</f>
        <v/>
      </c>
      <c r="D13" s="54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B5" sqref="B5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6.977158006341285</v>
      </c>
      <c r="M3" t="inlineStr">
        <is>
          <t>Objectif :</t>
        </is>
      </c>
      <c r="N3" s="57">
        <f>(INDEX(N5:N16,MATCH(MAX(O6),O5:O16,0))/0.9)</f>
        <v/>
      </c>
      <c r="O3" s="55">
        <f>(MAX(O6)*0.85)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7" t="n">
        <v>7.05387274</v>
      </c>
      <c r="C5" s="54">
        <f>(D5/B5)</f>
        <v/>
      </c>
      <c r="D5" s="54" t="n">
        <v>39.5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8">
        <f>(B6)</f>
        <v/>
      </c>
      <c r="S5" s="59" t="n">
        <v>0</v>
      </c>
      <c r="T5" s="60">
        <f>(D6)</f>
        <v/>
      </c>
      <c r="U5">
        <f>(R5*J3)</f>
        <v/>
      </c>
    </row>
    <row r="6">
      <c r="B6" s="58" t="n">
        <v>0.07218317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57">
        <f>-B11</f>
        <v/>
      </c>
      <c r="O6" s="54">
        <f>C11</f>
        <v/>
      </c>
      <c r="P6" s="54">
        <f>-D11</f>
        <v/>
      </c>
      <c r="Q6" t="inlineStr">
        <is>
          <t>Done</t>
        </is>
      </c>
      <c r="R6" s="57">
        <f>B5+B11</f>
        <v/>
      </c>
      <c r="S6" s="54">
        <f>(T6/R6)</f>
        <v/>
      </c>
      <c r="T6" s="54">
        <f>D5+B11*5.54</f>
        <v/>
      </c>
      <c r="U6" t="inlineStr">
        <is>
          <t>DCA2</t>
        </is>
      </c>
    </row>
    <row r="7">
      <c r="B7" s="57" t="n">
        <v>0.11156135</v>
      </c>
      <c r="C7" s="54">
        <f>(D7/B7)</f>
        <v/>
      </c>
      <c r="D7" s="54" t="n">
        <v>0.5</v>
      </c>
      <c r="N7" s="57">
        <f>2*($B$14-$B$11)/5-N6</f>
        <v/>
      </c>
      <c r="O7" s="54">
        <f>($S$6*Params!K9)</f>
        <v/>
      </c>
      <c r="P7" s="54">
        <f>(O7*N7)</f>
        <v/>
      </c>
      <c r="R7" s="57">
        <f>B7</f>
        <v/>
      </c>
      <c r="S7" s="54">
        <f>(T7/R7)</f>
        <v/>
      </c>
      <c r="T7" s="55">
        <f>D7</f>
        <v/>
      </c>
    </row>
    <row r="8">
      <c r="B8" s="57">
        <f>(-0.2134+N15)</f>
        <v/>
      </c>
      <c r="C8" s="54">
        <f>(D8/B8)</f>
        <v/>
      </c>
      <c r="D8" s="54">
        <f>(-1.27565659-D9)</f>
        <v/>
      </c>
      <c r="N8" s="57">
        <f>($B$14-$B$11)/5</f>
        <v/>
      </c>
      <c r="O8" s="54">
        <f>($C$5*Params!K10)</f>
        <v/>
      </c>
      <c r="P8" s="54">
        <f>(O8*N8)</f>
        <v/>
      </c>
      <c r="R8" s="57">
        <f>SUM(B8:B10)</f>
        <v/>
      </c>
      <c r="S8" s="54">
        <f>(T8/R8)</f>
        <v/>
      </c>
      <c r="T8" s="54">
        <f>SUM(D8:D10)</f>
        <v/>
      </c>
    </row>
    <row r="9">
      <c r="B9">
        <f>-B7/5</f>
        <v/>
      </c>
      <c r="C9" s="54" t="n">
        <v>5.97777</v>
      </c>
      <c r="D9" s="54">
        <f>(C9*B9)</f>
        <v/>
      </c>
      <c r="N9" s="57">
        <f>($B$14-$B$11)/5</f>
        <v/>
      </c>
      <c r="O9" s="54">
        <f>($C$5*Params!K11)</f>
        <v/>
      </c>
      <c r="P9" s="54">
        <f>(O9*N9)</f>
        <v/>
      </c>
      <c r="R9" s="57">
        <f>B11-B11</f>
        <v/>
      </c>
      <c r="S9" s="54" t="n">
        <v>0</v>
      </c>
      <c r="T9" s="55">
        <f>D11-B11*5.54</f>
        <v/>
      </c>
    </row>
    <row r="10">
      <c r="B10" s="57" t="n">
        <v>0.21193237</v>
      </c>
      <c r="C10" s="54">
        <f>D10/B10</f>
        <v/>
      </c>
      <c r="D10" s="54" t="n">
        <v>1.07</v>
      </c>
      <c r="N10" s="57" t="n"/>
      <c r="P10" s="54" t="n"/>
    </row>
    <row r="11">
      <c r="B11" s="57" t="n">
        <v>-1.3731</v>
      </c>
      <c r="C11" s="54">
        <f>(D11/B11)</f>
        <v/>
      </c>
      <c r="D11" s="54">
        <f>-9.89434222</f>
        <v/>
      </c>
      <c r="N11" s="57" t="n"/>
      <c r="P11" s="54" t="n"/>
    </row>
    <row r="12">
      <c r="N12" s="57" t="n"/>
      <c r="P12" s="54">
        <f>(SUM(P6:P9))</f>
        <v/>
      </c>
    </row>
    <row r="13">
      <c r="F13" t="inlineStr">
        <is>
          <t>Moy</t>
        </is>
      </c>
      <c r="G13" s="54">
        <f>(D14/B14)</f>
        <v/>
      </c>
      <c r="N13" s="57" t="n"/>
      <c r="P13" s="54" t="n"/>
      <c r="R13" s="57">
        <f>(SUM(R5:R12))</f>
        <v/>
      </c>
      <c r="T13" s="54">
        <f>(SUM(T5:T12))</f>
        <v/>
      </c>
    </row>
    <row r="14">
      <c r="B14">
        <f>(SUM(B5:B13))</f>
        <v/>
      </c>
      <c r="D14" s="54">
        <f>(SUM(D5:D13))</f>
        <v/>
      </c>
    </row>
    <row r="15">
      <c r="N15" s="57" t="n"/>
      <c r="O15" s="54" t="n"/>
      <c r="P15" s="54" t="n"/>
    </row>
    <row r="16">
      <c r="N16" s="57" t="n"/>
      <c r="O16" s="54" t="n"/>
      <c r="P16" s="54" t="n"/>
    </row>
    <row r="17">
      <c r="N17" s="57" t="n"/>
      <c r="O17" s="54" t="n"/>
      <c r="P17" s="54" t="n"/>
    </row>
    <row r="18">
      <c r="N18" s="57" t="n"/>
      <c r="O18" s="54" t="n"/>
      <c r="P18" s="54" t="n"/>
    </row>
    <row r="19">
      <c r="P19" s="54" t="n"/>
    </row>
    <row r="20">
      <c r="P20" s="54" t="n"/>
    </row>
    <row r="21">
      <c r="P21" s="54" t="n"/>
    </row>
    <row r="22"/>
    <row r="23"/>
    <row r="24"/>
    <row r="25"/>
    <row r="26"/>
    <row r="27">
      <c r="G27" s="55" t="n"/>
    </row>
  </sheetData>
  <conditionalFormatting sqref="C5 C7 C10 G13 O7:O9 S6:S7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D7" sqref="D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59.21234289839294</v>
      </c>
      <c r="M3" t="inlineStr">
        <is>
          <t>Objectif :</t>
        </is>
      </c>
      <c r="N3" s="57">
        <f>(INDEX(N5:N16,MATCH(MAX(O6),O5:O16,0))/0.9)</f>
        <v/>
      </c>
      <c r="O3" s="55">
        <f>(MAX(O6)*0.85)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</row>
    <row r="5">
      <c r="B5" s="57" t="n">
        <v>0.12084767</v>
      </c>
      <c r="C5" s="54" t="n">
        <v>43.03</v>
      </c>
      <c r="D5" s="54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58" t="n">
        <v>0.00294272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57">
        <f>-B7</f>
        <v/>
      </c>
      <c r="O6" s="54">
        <f>P6/N6</f>
        <v/>
      </c>
      <c r="P6" s="54">
        <f>-D7</f>
        <v/>
      </c>
      <c r="Q6" t="inlineStr">
        <is>
          <t>Done</t>
        </is>
      </c>
    </row>
    <row r="7">
      <c r="B7" t="n">
        <v>-0.02475</v>
      </c>
      <c r="C7" s="54">
        <f>D7/B7</f>
        <v/>
      </c>
      <c r="D7" s="54">
        <f>-1.42154421</f>
        <v/>
      </c>
      <c r="N7" s="57">
        <f>($B$13-$B$7)/5</f>
        <v/>
      </c>
      <c r="O7" s="54">
        <f>($C$5*Params!K9)</f>
        <v/>
      </c>
      <c r="P7" s="54">
        <f>(O7*N7)</f>
        <v/>
      </c>
    </row>
    <row r="8">
      <c r="N8" s="57">
        <f>($B$13-$B$7)/5</f>
        <v/>
      </c>
      <c r="O8" s="54">
        <f>($C$5*Params!K10)</f>
        <v/>
      </c>
      <c r="P8" s="54">
        <f>(O8*N8)</f>
        <v/>
      </c>
    </row>
    <row r="9">
      <c r="N9" s="57">
        <f>($B$13-$B$7)/5</f>
        <v/>
      </c>
      <c r="O9" s="54">
        <f>($C$5*Params!K11)</f>
        <v/>
      </c>
      <c r="P9" s="54">
        <f>(O9*N9)</f>
        <v/>
      </c>
    </row>
    <row r="10"/>
    <row r="11">
      <c r="P11" s="54">
        <f>(SUM(P6:P9))</f>
        <v/>
      </c>
    </row>
    <row r="12">
      <c r="F12" t="inlineStr">
        <is>
          <t>Moy</t>
        </is>
      </c>
      <c r="G12" s="54">
        <f>(D13/B13)</f>
        <v/>
      </c>
    </row>
    <row r="13">
      <c r="B13">
        <f>(SUM(B5:B12))</f>
        <v/>
      </c>
      <c r="D13" s="54">
        <f>(SUM(D5:D12))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2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U24"/>
  <sheetViews>
    <sheetView workbookViewId="0">
      <selection activeCell="U9" sqref="U9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10.12746944886077</v>
      </c>
      <c r="M3" t="inlineStr">
        <is>
          <t>Objectif :</t>
        </is>
      </c>
      <c r="N3" s="57">
        <f>(INDEX(N5:N18,MATCH(MAX(O6:O7),O5:O18,0))/0.9)</f>
        <v/>
      </c>
      <c r="O3" s="55">
        <f>(MAX(O6:O7)*0.85)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(B12*J3)</f>
        <v/>
      </c>
      <c r="K4" s="4">
        <f>(J4/D12-1)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2.33660749</v>
      </c>
      <c r="C5" s="54">
        <f>(D5/B5)</f>
        <v/>
      </c>
      <c r="D5" s="54" t="n">
        <v>10.92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</f>
        <v/>
      </c>
      <c r="S5" s="54">
        <f>(T5/R5)</f>
        <v/>
      </c>
      <c r="T5" s="54">
        <f>(D5)+(B7)*4.615+(B8)*4.6733</f>
        <v/>
      </c>
    </row>
    <row r="6">
      <c r="B6" s="2" t="n">
        <v>0.00226061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57">
        <f>-B7</f>
        <v/>
      </c>
      <c r="O6" s="54">
        <f>P6/N6</f>
        <v/>
      </c>
      <c r="P6" s="54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-0.442</v>
      </c>
      <c r="C7" s="55">
        <f>D7/B7</f>
        <v/>
      </c>
      <c r="D7" s="54" t="n">
        <v>-2.70607643</v>
      </c>
      <c r="N7" s="57">
        <f>-B8</f>
        <v/>
      </c>
      <c r="O7" s="54">
        <f>P7/N7</f>
        <v/>
      </c>
      <c r="P7" s="54">
        <f>-D8</f>
        <v/>
      </c>
      <c r="Q7" t="inlineStr">
        <is>
          <t>Done</t>
        </is>
      </c>
      <c r="R7" s="1">
        <f>(B7)-B7</f>
        <v/>
      </c>
      <c r="S7" s="54" t="n">
        <v>0</v>
      </c>
      <c r="T7" s="54">
        <f>(D7)-B7*4.615</f>
        <v/>
      </c>
    </row>
    <row r="8">
      <c r="B8" t="n">
        <v>-0.4935</v>
      </c>
      <c r="C8" s="55">
        <f>D8/B8</f>
        <v/>
      </c>
      <c r="D8" s="54" t="n">
        <v>-4.33261604</v>
      </c>
      <c r="N8" s="57">
        <f>3*($B$12+$N$6+N7)/5-$N$6-N7</f>
        <v/>
      </c>
      <c r="O8" s="54">
        <f>($C$5*Params!K10)</f>
        <v/>
      </c>
      <c r="P8" s="54">
        <f>(O8*N8)</f>
        <v/>
      </c>
      <c r="R8" s="1">
        <f>(B8)-B8</f>
        <v/>
      </c>
      <c r="S8" s="54" t="n">
        <v>0</v>
      </c>
      <c r="T8" s="54">
        <f>(D8)-B8*4.6733</f>
        <v/>
      </c>
    </row>
    <row r="9">
      <c r="B9" t="n">
        <v>-0.4678</v>
      </c>
      <c r="C9" s="55">
        <f>D9/B9</f>
        <v/>
      </c>
      <c r="D9" s="54" t="n">
        <v>-5.19978057</v>
      </c>
      <c r="N9" s="57">
        <f>B5/5</f>
        <v/>
      </c>
      <c r="O9" s="54">
        <f>($C$5*Params!K11)</f>
        <v/>
      </c>
      <c r="P9" s="54">
        <f>(O9*N9)</f>
        <v/>
      </c>
      <c r="R9" s="1">
        <f>(B9)+B10</f>
        <v/>
      </c>
      <c r="S9" s="54" t="n">
        <v>0</v>
      </c>
      <c r="T9" s="54">
        <f>(D9)+D10</f>
        <v/>
      </c>
      <c r="U9" s="55" t="n"/>
    </row>
    <row r="10">
      <c r="B10" s="1" t="n">
        <v>0.52289021</v>
      </c>
      <c r="C10" s="54">
        <f>(D10/B10)</f>
        <v/>
      </c>
      <c r="D10" s="54" t="n">
        <v>4.91</v>
      </c>
      <c r="R10" s="1" t="n"/>
      <c r="S10" s="54" t="n"/>
      <c r="T10" s="54" t="n"/>
    </row>
    <row r="11">
      <c r="F11" t="inlineStr">
        <is>
          <t>Moy</t>
        </is>
      </c>
      <c r="G11" s="54">
        <f>(D12/B12)</f>
        <v/>
      </c>
      <c r="P11" s="54">
        <f>(SUM(P6:P9))</f>
        <v/>
      </c>
      <c r="R11" s="1" t="n"/>
      <c r="S11" s="54" t="n"/>
      <c r="T11" s="54" t="n"/>
    </row>
    <row r="12">
      <c r="B12">
        <f>(SUM(B5:B11))</f>
        <v/>
      </c>
      <c r="D12" s="54">
        <f>(SUM(D5:D11))</f>
        <v/>
      </c>
      <c r="R12" s="1" t="n"/>
      <c r="S12" s="54" t="n"/>
      <c r="T12" s="54" t="n"/>
    </row>
    <row r="13">
      <c r="R13" s="1" t="n"/>
      <c r="S13" s="54" t="n"/>
      <c r="T13" s="55" t="n"/>
    </row>
    <row r="14">
      <c r="P14" s="54" t="n"/>
    </row>
    <row r="15"/>
    <row r="16"/>
    <row r="17"/>
    <row r="18"/>
    <row r="19"/>
    <row r="20"/>
    <row r="21"/>
    <row r="22"/>
    <row r="23"/>
    <row r="24">
      <c r="R24">
        <f>(SUM(R5:R23))</f>
        <v/>
      </c>
      <c r="T24" s="54">
        <f>(SUM(T5:T23))</f>
        <v/>
      </c>
    </row>
  </sheetData>
  <conditionalFormatting sqref="C5 G11 O8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0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2.144640205481555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(B10*J3)</f>
        <v/>
      </c>
      <c r="K4" s="4">
        <f>(J4/D10-1)</f>
        <v/>
      </c>
    </row>
    <row r="5">
      <c r="B5" s="1" t="n">
        <v>5.60987839</v>
      </c>
      <c r="C5" s="54">
        <f>(D5/B5)</f>
        <v/>
      </c>
      <c r="D5" s="54" t="n">
        <v>12.15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0.01750646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1">
        <f>($B$10/5)</f>
        <v/>
      </c>
      <c r="O6" s="54">
        <f>($C$5*Params!K8)</f>
        <v/>
      </c>
      <c r="P6" s="54">
        <f>(O6*N6)</f>
        <v/>
      </c>
    </row>
    <row r="7">
      <c r="N7" s="1">
        <f>($B$10/5)</f>
        <v/>
      </c>
      <c r="O7" s="54">
        <f>($C$5*Params!K9)</f>
        <v/>
      </c>
      <c r="P7" s="54">
        <f>(O7*N7)</f>
        <v/>
      </c>
    </row>
    <row r="8">
      <c r="N8" s="1">
        <f>($B$10/5)</f>
        <v/>
      </c>
      <c r="O8" s="54">
        <f>($C$5*Params!K10)</f>
        <v/>
      </c>
      <c r="P8" s="54">
        <f>(O8*N8)</f>
        <v/>
      </c>
    </row>
    <row r="9">
      <c r="F9" t="inlineStr">
        <is>
          <t>Moy</t>
        </is>
      </c>
      <c r="G9" s="54">
        <f>(D10/B10)</f>
        <v/>
      </c>
      <c r="N9" s="1">
        <f>($B$10/5)</f>
        <v/>
      </c>
      <c r="O9" s="54">
        <f>($C$5*Params!K11)</f>
        <v/>
      </c>
      <c r="P9" s="54">
        <f>(O9*N9)</f>
        <v/>
      </c>
    </row>
    <row r="10">
      <c r="B10" s="1">
        <f>(SUM(B5:B9))</f>
        <v/>
      </c>
      <c r="D10" s="54">
        <f>(SUM(D5:D9))</f>
        <v/>
      </c>
    </row>
    <row r="11">
      <c r="P11" s="54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O3" sqref="O3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14.58972254305825</v>
      </c>
      <c r="M3" t="inlineStr">
        <is>
          <t>Objectif :</t>
        </is>
      </c>
      <c r="N3" s="57">
        <f>(INDEX(N5:N16,MATCH(MAX(O6:O8),O5:O16,0))/0.9)</f>
        <v/>
      </c>
      <c r="O3" s="55">
        <f>(MAX(O6:O8)*0.85)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1.32937274</v>
      </c>
      <c r="C5" s="54">
        <f>(D5/B5)</f>
        <v/>
      </c>
      <c r="D5" s="54" t="n">
        <v>9.33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4">
        <f>(T5/R5)</f>
        <v/>
      </c>
      <c r="T5" s="54">
        <f>(D5)+(B7+B8+B9)*6.9017</f>
        <v/>
      </c>
    </row>
    <row r="6">
      <c r="B6" s="2" t="n">
        <v>0.00233577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57">
        <f>-B7</f>
        <v/>
      </c>
      <c r="O6" s="54">
        <f>P6/N6</f>
        <v/>
      </c>
      <c r="P6" s="54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-0.25</v>
      </c>
      <c r="C7" s="54">
        <f>D7/B7</f>
        <v/>
      </c>
      <c r="D7" s="54">
        <f>-2.54970727</f>
        <v/>
      </c>
      <c r="N7" s="57">
        <f>-B8</f>
        <v/>
      </c>
      <c r="O7" s="54">
        <f>C8</f>
        <v/>
      </c>
      <c r="P7" s="54">
        <f>-D8</f>
        <v/>
      </c>
      <c r="Q7" t="inlineStr">
        <is>
          <t>Done</t>
        </is>
      </c>
      <c r="R7" s="1">
        <f>(B7)-B7</f>
        <v/>
      </c>
      <c r="S7" s="54" t="n">
        <v>0</v>
      </c>
      <c r="T7" s="54">
        <f>(D7)-B7*6.9017</f>
        <v/>
      </c>
    </row>
    <row r="8">
      <c r="B8" s="1" t="n">
        <v>-0.27</v>
      </c>
      <c r="C8" s="54">
        <f>D8/B8</f>
        <v/>
      </c>
      <c r="D8" s="54" t="n">
        <v>-3.09156748</v>
      </c>
      <c r="N8" s="57">
        <f>-B9</f>
        <v/>
      </c>
      <c r="O8" s="54">
        <f>P8/N8</f>
        <v/>
      </c>
      <c r="P8" s="54">
        <f>-D9</f>
        <v/>
      </c>
      <c r="Q8" t="inlineStr">
        <is>
          <t>Done</t>
        </is>
      </c>
      <c r="R8" s="1">
        <f>(B8)-B8</f>
        <v/>
      </c>
      <c r="S8" s="54" t="n">
        <v>0</v>
      </c>
      <c r="T8" s="54">
        <f>(D8)-B8*6.9017</f>
        <v/>
      </c>
      <c r="U8" s="55" t="n"/>
    </row>
    <row r="9">
      <c r="B9" s="1" t="n">
        <v>-0.2616</v>
      </c>
      <c r="C9" s="54">
        <f>D9/B9</f>
        <v/>
      </c>
      <c r="D9" s="54">
        <f>-4.0102794</f>
        <v/>
      </c>
      <c r="N9" s="57">
        <f>4*($B$5+B6)/5-N8-N7-N6</f>
        <v/>
      </c>
      <c r="O9" s="54">
        <f>($C$5*Params!K11)</f>
        <v/>
      </c>
      <c r="P9" s="54">
        <f>(O9*N9)</f>
        <v/>
      </c>
      <c r="R9" s="1">
        <f>(B9)-B9</f>
        <v/>
      </c>
      <c r="S9" s="54" t="n">
        <v>0</v>
      </c>
      <c r="T9" s="54">
        <f>(D9)-B9*6.9017</f>
        <v/>
      </c>
      <c r="U9" s="55" t="n"/>
    </row>
    <row r="10">
      <c r="C10" s="54" t="n"/>
      <c r="D10" s="54" t="n"/>
      <c r="F10" t="inlineStr">
        <is>
          <t>Moy</t>
        </is>
      </c>
      <c r="G10" s="54">
        <f>(D11/B11)</f>
        <v/>
      </c>
      <c r="O10" s="54" t="n"/>
      <c r="P10" s="54" t="n"/>
      <c r="R10" s="1" t="n"/>
      <c r="S10" s="54" t="n"/>
      <c r="T10" s="54" t="n"/>
      <c r="U10" s="55" t="n"/>
    </row>
    <row r="11">
      <c r="B11">
        <f>(SUM(B5:B10))</f>
        <v/>
      </c>
      <c r="C11" s="54" t="n"/>
      <c r="D11" s="54">
        <f>(SUM(D5:D10))</f>
        <v/>
      </c>
      <c r="O11" s="54" t="n"/>
      <c r="P11" s="54">
        <f>(SUM(P6:P9))</f>
        <v/>
      </c>
      <c r="R11" s="1" t="n"/>
      <c r="S11" s="54" t="n"/>
      <c r="T11" s="55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4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71.23912383053087</v>
      </c>
      <c r="N3" s="57" t="n"/>
      <c r="O3" s="55" t="n"/>
      <c r="P3" s="7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(B15*J3)</f>
        <v/>
      </c>
      <c r="K4" s="4">
        <f>(J4/D15-1)</f>
        <v/>
      </c>
      <c r="O4" s="54" t="n"/>
      <c r="P4" s="54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4">
        <f>(D5/B5)</f>
        <v/>
      </c>
      <c r="D5" s="54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4">
        <f>(T5/R5)</f>
        <v/>
      </c>
      <c r="T5" s="54">
        <f>(D5)</f>
        <v/>
      </c>
    </row>
    <row r="6">
      <c r="B6" s="2" t="n">
        <v>0.00113397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80">
        <f>(SUM(R$5:R$8)/5)</f>
        <v/>
      </c>
      <c r="O6" s="54">
        <f>($C$7*Params!K8)</f>
        <v/>
      </c>
      <c r="P6" s="54">
        <f>(O6*N6)</f>
        <v/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0.144855</v>
      </c>
      <c r="C7" s="54">
        <f>(D7/B7)</f>
        <v/>
      </c>
      <c r="D7" s="54" t="n">
        <v>9.9673</v>
      </c>
      <c r="N7" s="80">
        <f>(SUM(R$5:R$8)/5)</f>
        <v/>
      </c>
      <c r="O7" s="54">
        <f>($C$7*Params!K9)</f>
        <v/>
      </c>
      <c r="P7" s="54">
        <f>(O7*N7)</f>
        <v/>
      </c>
      <c r="R7" s="1">
        <f>(B7)</f>
        <v/>
      </c>
      <c r="S7" s="54">
        <f>(T7/R7)</f>
        <v/>
      </c>
      <c r="T7" s="54">
        <f>(D7)</f>
        <v/>
      </c>
    </row>
    <row r="8">
      <c r="B8" s="1" t="n">
        <v>-0.0305107</v>
      </c>
      <c r="C8" s="54">
        <f>(D8/B8)</f>
        <v/>
      </c>
      <c r="D8" s="54" t="n">
        <v>-2.78264645</v>
      </c>
      <c r="N8" s="80">
        <f>(SUM(R$5:R$8)/5)</f>
        <v/>
      </c>
      <c r="O8" s="54">
        <f>($C$7*Params!K10)</f>
        <v/>
      </c>
      <c r="P8" s="54">
        <f>(O8*N8)</f>
        <v/>
      </c>
      <c r="R8" s="1">
        <f>(B8+B9)+B11+B12+B10+B13</f>
        <v/>
      </c>
      <c r="S8" s="54" t="n">
        <v>0</v>
      </c>
      <c r="T8" s="54">
        <f>(D8+D9)+D11+D12+D10+D13</f>
        <v/>
      </c>
      <c r="U8" s="55">
        <f>R8*J3-T8</f>
        <v/>
      </c>
    </row>
    <row r="9">
      <c r="B9" s="1" t="n">
        <v>0.03383532</v>
      </c>
      <c r="C9" s="54">
        <f>(D9/B9)</f>
        <v/>
      </c>
      <c r="D9" s="54" t="n">
        <v>2.62</v>
      </c>
      <c r="N9" s="80">
        <f>(SUM(R$5:R$8)/5)</f>
        <v/>
      </c>
      <c r="O9" s="54">
        <f>($C$7*Params!K11)</f>
        <v/>
      </c>
      <c r="P9" s="54">
        <f>(O9*N9)</f>
        <v/>
      </c>
      <c r="R9" s="1" t="n"/>
      <c r="S9" s="54" t="n"/>
      <c r="T9" s="54" t="n"/>
      <c r="U9" s="55" t="n"/>
    </row>
    <row r="10">
      <c r="B10" s="1" t="n">
        <v>-0.031254</v>
      </c>
      <c r="C10" s="54">
        <f>(D10/B10)</f>
        <v/>
      </c>
      <c r="D10" s="54" t="n">
        <v>-2.85198602</v>
      </c>
      <c r="O10" s="54" t="n"/>
      <c r="P10" s="54" t="n"/>
      <c r="R10" s="1" t="n"/>
      <c r="S10" s="54" t="n"/>
      <c r="T10" s="55" t="n"/>
    </row>
    <row r="11">
      <c r="B11" s="1" t="n">
        <v>-0.031261</v>
      </c>
      <c r="C11" s="54">
        <f>(D11/B11)</f>
        <v/>
      </c>
      <c r="D11" s="54" t="n">
        <v>-3.46678924</v>
      </c>
      <c r="O11" s="54" t="n"/>
      <c r="P11" s="54">
        <f>(SUM(P6:P9))</f>
        <v/>
      </c>
    </row>
    <row r="12">
      <c r="B12" s="1" t="n">
        <v>0.03471228</v>
      </c>
      <c r="C12" s="54">
        <f>(D12/B12)</f>
        <v/>
      </c>
      <c r="D12" s="54" t="n">
        <v>3.26</v>
      </c>
      <c r="O12" s="54" t="n"/>
      <c r="P12" s="54" t="n"/>
    </row>
    <row r="13">
      <c r="B13" s="1" t="n">
        <v>0.03497402</v>
      </c>
      <c r="C13" s="54">
        <f>(D13/B13)</f>
        <v/>
      </c>
      <c r="D13" s="54" t="n">
        <v>2.693</v>
      </c>
      <c r="O13" s="54" t="n"/>
      <c r="P13" s="54" t="n"/>
    </row>
    <row r="14">
      <c r="F14" t="inlineStr">
        <is>
          <t>Moy</t>
        </is>
      </c>
      <c r="G14" s="54">
        <f>(D15/B15)</f>
        <v/>
      </c>
    </row>
    <row r="15">
      <c r="B15" s="1">
        <f>(SUM(B5:B14))</f>
        <v/>
      </c>
      <c r="D15" s="54">
        <f>(SUM(D5:D14))</f>
        <v/>
      </c>
    </row>
    <row r="16"/>
    <row r="17"/>
    <row r="18"/>
    <row r="19"/>
    <row r="20"/>
    <row r="21">
      <c r="R21">
        <f>(SUM(R5:R20))</f>
        <v/>
      </c>
      <c r="T21" s="54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5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N12" sqref="N12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  <col width="9.140625" customWidth="1" style="14" min="13" max="13"/>
    <col width="11.28515625" bestFit="1" customWidth="1" style="14" min="14" max="14"/>
    <col width="11.5703125" bestFit="1" customWidth="1" style="14" min="15" max="15"/>
    <col width="9.140625" customWidth="1" style="14" min="16" max="16"/>
  </cols>
  <sheetData>
    <row r="1"/>
    <row r="2"/>
    <row r="3">
      <c r="I3" t="inlineStr">
        <is>
          <t>Actual Price :</t>
        </is>
      </c>
      <c r="J3" s="54" t="n">
        <v>0.9262975293690161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(B22*J3)</f>
        <v/>
      </c>
    </row>
    <row r="5">
      <c r="B5" t="n">
        <v>3.25270461</v>
      </c>
      <c r="C5" s="54" t="n">
        <v>0</v>
      </c>
      <c r="D5" s="54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81" t="n">
        <v>0.05587678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 :</t>
        </is>
      </c>
      <c r="N6" s="64">
        <f>(C7*2)</f>
        <v/>
      </c>
      <c r="O6" s="80">
        <f>-B7</f>
        <v/>
      </c>
      <c r="P6" s="54">
        <f>(O6*N6)</f>
        <v/>
      </c>
    </row>
    <row r="7">
      <c r="B7" s="80">
        <f>-3.25700016-0.002</f>
        <v/>
      </c>
      <c r="C7" s="54">
        <f>(D7/B7)</f>
        <v/>
      </c>
      <c r="D7" s="54" t="n">
        <v>-5.39743191</v>
      </c>
    </row>
    <row r="8">
      <c r="B8" t="n">
        <v>0.31639059</v>
      </c>
      <c r="C8" s="54" t="n">
        <v>0</v>
      </c>
      <c r="D8" s="54">
        <f>(B8*C8)</f>
        <v/>
      </c>
    </row>
    <row r="9">
      <c r="B9" t="n">
        <v>0.31639059</v>
      </c>
      <c r="C9" s="54" t="n">
        <v>0</v>
      </c>
      <c r="D9" s="54">
        <f>(B9*C9)</f>
        <v/>
      </c>
      <c r="N9" s="64" t="n"/>
      <c r="O9" s="21" t="n"/>
      <c r="P9" s="54" t="n"/>
    </row>
    <row r="10">
      <c r="B10" t="n">
        <v>0.31639059</v>
      </c>
      <c r="C10" s="54" t="n">
        <v>0</v>
      </c>
      <c r="D10" s="54">
        <f>(B10*C10)</f>
        <v/>
      </c>
      <c r="N10" s="64" t="n"/>
    </row>
    <row r="11">
      <c r="B11" t="n">
        <v>0.31639059</v>
      </c>
      <c r="C11" s="54" t="n">
        <v>0</v>
      </c>
      <c r="D11" s="54">
        <f>(B11*C11)</f>
        <v/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</row>
    <row r="12">
      <c r="B12" t="n">
        <v>0.31639059</v>
      </c>
      <c r="C12" s="54" t="n">
        <v>0</v>
      </c>
      <c r="D12" s="54">
        <f>(B12*C12)</f>
        <v/>
      </c>
      <c r="M12" t="inlineStr">
        <is>
          <t>Objectif :</t>
        </is>
      </c>
      <c r="N12" s="64">
        <f>C7/2.1</f>
        <v/>
      </c>
      <c r="O12" s="67">
        <f>-B7</f>
        <v/>
      </c>
      <c r="P12" s="54">
        <f>(O12*N12)</f>
        <v/>
      </c>
    </row>
    <row r="13">
      <c r="B13" t="n">
        <v>0.31639059</v>
      </c>
      <c r="C13" s="54" t="n">
        <v>0</v>
      </c>
      <c r="D13" s="54">
        <f>(B13*C13)</f>
        <v/>
      </c>
    </row>
    <row r="14">
      <c r="B14" t="n">
        <v>0.31639059</v>
      </c>
      <c r="C14" s="54" t="n">
        <v>0</v>
      </c>
      <c r="D14" s="54">
        <f>(B14*C14)</f>
        <v/>
      </c>
    </row>
    <row r="15">
      <c r="B15" t="n">
        <v>0.31639059</v>
      </c>
      <c r="C15" s="54" t="n">
        <v>0</v>
      </c>
      <c r="D15" s="54">
        <f>(B15*C15)</f>
        <v/>
      </c>
    </row>
    <row r="16">
      <c r="B16" t="n">
        <v>0.31639059</v>
      </c>
      <c r="C16" s="54" t="n">
        <v>0</v>
      </c>
      <c r="D16" s="54">
        <f>(B16*C16)</f>
        <v/>
      </c>
    </row>
    <row r="17">
      <c r="B17" t="n">
        <v>0.31639059</v>
      </c>
      <c r="C17" s="54" t="n">
        <v>0</v>
      </c>
      <c r="D17" s="54">
        <f>(B17*C17)</f>
        <v/>
      </c>
    </row>
    <row r="18">
      <c r="B18" t="n">
        <v>0.31639059</v>
      </c>
      <c r="C18" s="54" t="n">
        <v>0</v>
      </c>
      <c r="D18" s="54">
        <f>(B18*C18)</f>
        <v/>
      </c>
    </row>
    <row r="19">
      <c r="B19" t="n">
        <v>0.31639059</v>
      </c>
      <c r="C19" s="54" t="n">
        <v>0</v>
      </c>
      <c r="D19" s="54">
        <f>(B19*C19)</f>
        <v/>
      </c>
    </row>
    <row r="20">
      <c r="B20" t="n">
        <v>0.31639059</v>
      </c>
      <c r="C20" s="54" t="n">
        <v>0</v>
      </c>
      <c r="D20" s="54">
        <f>(B20*C20)</f>
        <v/>
      </c>
    </row>
    <row r="21"/>
    <row r="22">
      <c r="B22">
        <f>(SUM(B5:B21))</f>
        <v/>
      </c>
      <c r="D22" s="54">
        <f>(SUM(D5:D21))</f>
        <v/>
      </c>
    </row>
  </sheetData>
  <conditionalFormatting sqref="N6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N13" sqref="N13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64" t="n">
        <v>0.0001542158393889585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0.2363634506</v>
      </c>
      <c r="C5" s="64" t="n">
        <v>115.55</v>
      </c>
      <c r="D5" s="54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66">
        <f>(B5)</f>
        <v/>
      </c>
      <c r="S5" s="64" t="n">
        <v>115.55</v>
      </c>
      <c r="T5" s="54">
        <f>(R5*S5)</f>
        <v/>
      </c>
    </row>
    <row r="6">
      <c r="B6" s="66" t="n">
        <v>0.3</v>
      </c>
      <c r="C6" s="64" t="n">
        <v>91.3</v>
      </c>
      <c r="D6" s="54">
        <f>(B6*C6)</f>
        <v/>
      </c>
      <c r="M6" t="inlineStr">
        <is>
          <t>Objectif :</t>
        </is>
      </c>
      <c r="N6" s="64">
        <f>(MIN(C5:C8,C14:C16)*2)</f>
        <v/>
      </c>
      <c r="O6">
        <f>(INDEX(B5:B17,MATCH(N6/2,C5:C17,0)))</f>
        <v/>
      </c>
      <c r="P6" s="54">
        <f>(O6*N6)</f>
        <v/>
      </c>
      <c r="R6" s="66">
        <f>(B6)</f>
        <v/>
      </c>
      <c r="S6" s="64" t="n">
        <v>91.3</v>
      </c>
      <c r="T6" s="54">
        <f>(R6*S6)</f>
        <v/>
      </c>
    </row>
    <row r="7">
      <c r="B7" s="66" t="n">
        <v>2.79041387</v>
      </c>
      <c r="C7" s="64" t="n">
        <v>6.5</v>
      </c>
      <c r="D7" s="54">
        <f>(B7*C7)</f>
        <v/>
      </c>
      <c r="R7" s="66">
        <f>(B7)</f>
        <v/>
      </c>
      <c r="S7" s="64" t="n">
        <v>6.5</v>
      </c>
      <c r="T7" s="54">
        <f>(R7*S7)</f>
        <v/>
      </c>
    </row>
    <row r="8">
      <c r="B8" s="66" t="n">
        <v>722</v>
      </c>
      <c r="C8" s="64">
        <f>(D8/B8)</f>
        <v/>
      </c>
      <c r="D8" s="54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66">
        <f>(B8)</f>
        <v/>
      </c>
      <c r="S8" s="64">
        <f>(T8/R8)</f>
        <v/>
      </c>
      <c r="T8" s="54" t="n">
        <v>15</v>
      </c>
    </row>
    <row r="9">
      <c r="B9" s="66">
        <f>(891400)</f>
        <v/>
      </c>
      <c r="C9" s="64">
        <f>(D9/B9)</f>
        <v/>
      </c>
      <c r="D9" s="54" t="n">
        <v>10</v>
      </c>
      <c r="M9" t="inlineStr">
        <is>
          <t>Objectif :</t>
        </is>
      </c>
      <c r="N9" s="64" t="n">
        <v>0.0005</v>
      </c>
      <c r="O9" s="21">
        <f>B39/4</f>
        <v/>
      </c>
      <c r="P9" s="54">
        <f>(O9*N9)</f>
        <v/>
      </c>
      <c r="R9" s="66">
        <f>(B9)</f>
        <v/>
      </c>
      <c r="S9" s="64">
        <f>(T9/R9)</f>
        <v/>
      </c>
      <c r="T9" s="54" t="n">
        <v>10</v>
      </c>
    </row>
    <row r="10">
      <c r="B10" s="66" t="n">
        <v>-200000</v>
      </c>
      <c r="C10" s="64">
        <f>(D10/B10)</f>
        <v/>
      </c>
      <c r="D10" s="54" t="n">
        <v>-12</v>
      </c>
      <c r="N10" s="64" t="n"/>
      <c r="R10" s="66">
        <f>(B10)</f>
        <v/>
      </c>
      <c r="S10" s="64">
        <f>(T10/R10)</f>
        <v/>
      </c>
      <c r="T10" s="54" t="n">
        <v>-12</v>
      </c>
    </row>
    <row r="11">
      <c r="B11" s="66" t="n">
        <v>-43873</v>
      </c>
      <c r="C11" s="64">
        <f>(D11/B11)</f>
        <v/>
      </c>
      <c r="D11" s="54" t="n">
        <v>-10</v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  <c r="R11" s="66">
        <f>(B11)</f>
        <v/>
      </c>
      <c r="S11" s="64">
        <f>(T11/R11)</f>
        <v/>
      </c>
      <c r="T11" s="54" t="n">
        <v>-10</v>
      </c>
    </row>
    <row r="12">
      <c r="B12" s="66" t="n">
        <v>-20000</v>
      </c>
      <c r="C12" s="64">
        <f>(D12/B12)</f>
        <v/>
      </c>
      <c r="D12" s="54" t="n">
        <v>-10</v>
      </c>
      <c r="M12" t="inlineStr">
        <is>
          <t>Objectif :</t>
        </is>
      </c>
      <c r="N12" s="64">
        <f>C37/2.5</f>
        <v/>
      </c>
      <c r="O12" s="67">
        <f>-B37-B36</f>
        <v/>
      </c>
      <c r="P12" s="54">
        <f>(O12*N12)</f>
        <v/>
      </c>
      <c r="R12" s="66">
        <f>(B12)</f>
        <v/>
      </c>
      <c r="S12" s="64">
        <f>(T12/R12)</f>
        <v/>
      </c>
      <c r="T12" s="54" t="n">
        <v>-10</v>
      </c>
    </row>
    <row r="13">
      <c r="B13" s="66" t="n">
        <v>-66800</v>
      </c>
      <c r="C13" s="64">
        <f>(D13/B13)</f>
        <v/>
      </c>
      <c r="D13" s="54" t="n">
        <v>-33.4</v>
      </c>
      <c r="R13" s="66">
        <f>(B13+B14+B15+B16)</f>
        <v/>
      </c>
      <c r="S13" s="64">
        <f>(T13/R13)</f>
        <v/>
      </c>
      <c r="T13" s="54">
        <f>(D13+D15+D14+D16)</f>
        <v/>
      </c>
    </row>
    <row r="14">
      <c r="B14" s="66" t="n">
        <v>22223</v>
      </c>
      <c r="C14" s="64">
        <f>(D14/B14)</f>
        <v/>
      </c>
      <c r="D14" s="54" t="n">
        <v>10.00035</v>
      </c>
      <c r="R14" s="66">
        <f>(B17)</f>
        <v/>
      </c>
      <c r="S14" s="64" t="n">
        <v>0.0001</v>
      </c>
      <c r="T14" s="54">
        <f>(S14*R14)</f>
        <v/>
      </c>
    </row>
    <row r="15">
      <c r="B15" s="66" t="n">
        <v>48000</v>
      </c>
      <c r="C15" s="64">
        <f>(D15/B15)</f>
        <v/>
      </c>
      <c r="D15" s="54" t="n">
        <v>18</v>
      </c>
      <c r="R15" s="66">
        <f>(B18)</f>
        <v/>
      </c>
      <c r="S15" s="64" t="n">
        <v>0</v>
      </c>
      <c r="T15" s="54">
        <f>(R15*S15)</f>
        <v/>
      </c>
    </row>
    <row r="16">
      <c r="B16" s="66" t="n">
        <v>40000</v>
      </c>
      <c r="C16" s="64">
        <f>(D16/B16)</f>
        <v/>
      </c>
      <c r="D16" s="54" t="n">
        <v>10</v>
      </c>
      <c r="R16" s="66">
        <f>(B19)</f>
        <v/>
      </c>
      <c r="S16" s="64" t="n">
        <v>0.0001829</v>
      </c>
      <c r="T16" s="54">
        <f>(S16*R16)</f>
        <v/>
      </c>
    </row>
    <row r="17">
      <c r="B17" s="66" t="n">
        <v>-150000</v>
      </c>
      <c r="C17" s="64" t="n">
        <v>0.0001</v>
      </c>
      <c r="D17" s="54">
        <f>(C17*B17)</f>
        <v/>
      </c>
      <c r="R17" s="66">
        <f>(B20)</f>
        <v/>
      </c>
      <c r="S17" s="64" t="n">
        <v>0.0001828</v>
      </c>
      <c r="T17" s="54">
        <f>(S17*R17)</f>
        <v/>
      </c>
    </row>
    <row r="18">
      <c r="B18" s="78" t="n">
        <v>4855.70951827</v>
      </c>
      <c r="C18" s="59" t="n">
        <v>0</v>
      </c>
      <c r="D18" s="60">
        <f>(B18*C18)</f>
        <v/>
      </c>
      <c r="E18" s="54">
        <f>(B18*J3)</f>
        <v/>
      </c>
      <c r="R18" s="66">
        <f>(B21)</f>
        <v/>
      </c>
      <c r="S18" s="64">
        <f>(T18/R18)</f>
        <v/>
      </c>
      <c r="T18" s="54" t="n">
        <v>-10.875</v>
      </c>
    </row>
    <row r="19">
      <c r="B19" s="66" t="n">
        <v>-60293.19</v>
      </c>
      <c r="C19" s="64" t="n">
        <v>0.0001829</v>
      </c>
      <c r="D19" s="54">
        <f>(C19*B19)</f>
        <v/>
      </c>
      <c r="R19" s="66">
        <f>(B22)</f>
        <v/>
      </c>
      <c r="S19" s="64">
        <f>(T19/R19)</f>
        <v/>
      </c>
      <c r="T19" s="54" t="n">
        <v>-15.777</v>
      </c>
    </row>
    <row r="20">
      <c r="B20" s="66" t="n">
        <v>-41141.35</v>
      </c>
      <c r="C20" s="64" t="n">
        <v>0.0001828</v>
      </c>
      <c r="D20" s="54">
        <f>(C20*B20)</f>
        <v/>
      </c>
      <c r="R20" s="66">
        <f>(B23)</f>
        <v/>
      </c>
      <c r="S20" s="64">
        <f>(T20/R20)</f>
        <v/>
      </c>
      <c r="T20" s="54" t="n">
        <v>-12.7</v>
      </c>
    </row>
    <row r="21">
      <c r="B21" s="66" t="n">
        <v>-26969.34</v>
      </c>
      <c r="C21" s="64">
        <f>(D21/B21)</f>
        <v/>
      </c>
      <c r="D21" s="54" t="n">
        <v>-10.875</v>
      </c>
      <c r="R21" s="66">
        <f>(B24+B25+B26)</f>
        <v/>
      </c>
      <c r="S21" s="64">
        <f>(T21/R21)</f>
        <v/>
      </c>
      <c r="T21" s="54">
        <f>(D24+D25+D26)</f>
        <v/>
      </c>
    </row>
    <row r="22">
      <c r="B22" s="66" t="n">
        <v>-39131.89</v>
      </c>
      <c r="C22" s="64">
        <f>(D22/B22)</f>
        <v/>
      </c>
      <c r="D22" s="54" t="n">
        <v>-15.777</v>
      </c>
      <c r="R22" s="66">
        <f>(B27+B28)</f>
        <v/>
      </c>
      <c r="S22" s="64" t="n">
        <v>0</v>
      </c>
      <c r="T22" s="54">
        <f>(D27+D28)</f>
        <v/>
      </c>
    </row>
    <row r="23">
      <c r="B23" s="66" t="n">
        <v>-31019.52</v>
      </c>
      <c r="C23" s="64">
        <f>(D23/B23)</f>
        <v/>
      </c>
      <c r="D23" s="54" t="n">
        <v>-12.7</v>
      </c>
      <c r="R23" s="66">
        <f>(B29+B30)</f>
        <v/>
      </c>
      <c r="S23" s="64" t="n">
        <v>0</v>
      </c>
      <c r="T23" s="54">
        <f>(D29+D30)</f>
        <v/>
      </c>
    </row>
    <row r="24">
      <c r="B24" s="66" t="n">
        <v>-20035.65</v>
      </c>
      <c r="C24" s="64">
        <f>(D24/B24)</f>
        <v/>
      </c>
      <c r="D24" s="54" t="n">
        <v>-11.12</v>
      </c>
      <c r="R24" s="66">
        <f>(B31+B32)</f>
        <v/>
      </c>
      <c r="S24" s="64" t="n">
        <v>0</v>
      </c>
      <c r="T24" s="54">
        <f>(D31+D32)</f>
        <v/>
      </c>
    </row>
    <row r="25">
      <c r="B25" s="66">
        <f>(15252.99-15.25299)</f>
        <v/>
      </c>
      <c r="C25" s="64" t="n">
        <v>0.00051739</v>
      </c>
      <c r="D25" s="54">
        <f>(B25*C25)</f>
        <v/>
      </c>
      <c r="R25" s="66">
        <f>(B33+B34+B35)</f>
        <v/>
      </c>
      <c r="S25" s="64" t="n">
        <v>0</v>
      </c>
      <c r="T25" s="54">
        <f>(D33+D34+D35)</f>
        <v/>
      </c>
    </row>
    <row r="26">
      <c r="B26" s="66">
        <f>(4747.01-4.74701)</f>
        <v/>
      </c>
      <c r="C26" s="64" t="n">
        <v>0.00051738</v>
      </c>
      <c r="D26" s="54">
        <f>(B26*C26)</f>
        <v/>
      </c>
      <c r="R26" s="66">
        <f>B36</f>
        <v/>
      </c>
      <c r="S26" s="64">
        <f>T26/R26</f>
        <v/>
      </c>
      <c r="T26" s="55">
        <f>D36</f>
        <v/>
      </c>
    </row>
    <row r="27">
      <c r="B27" s="66" t="n">
        <v>-40000</v>
      </c>
      <c r="C27" s="64">
        <f>(D27/B27)</f>
        <v/>
      </c>
      <c r="D27" s="54" t="n">
        <v>-12.44</v>
      </c>
      <c r="R27" s="66">
        <f>B37</f>
        <v/>
      </c>
      <c r="S27" s="64">
        <f>T27/R27</f>
        <v/>
      </c>
      <c r="T27" s="55">
        <f>D37</f>
        <v/>
      </c>
    </row>
    <row r="28">
      <c r="B28" s="66" t="n">
        <v>40000</v>
      </c>
      <c r="C28" s="64">
        <f>(D28/B28)</f>
        <v/>
      </c>
      <c r="D28" s="54" t="n">
        <v>10</v>
      </c>
    </row>
    <row r="29">
      <c r="B29" s="66" t="n">
        <v>-40000</v>
      </c>
      <c r="C29" s="64">
        <f>(D29/B29)</f>
        <v/>
      </c>
      <c r="D29" s="54" t="n">
        <v>-12.39</v>
      </c>
    </row>
    <row r="30">
      <c r="B30" s="66" t="n">
        <v>44000</v>
      </c>
      <c r="C30" s="64">
        <f>(D30/B30)</f>
        <v/>
      </c>
      <c r="D30" s="54" t="n">
        <v>10.42</v>
      </c>
    </row>
    <row r="31">
      <c r="B31" s="66" t="n">
        <v>-270017.67672339</v>
      </c>
      <c r="C31" s="64">
        <f>(D31/B31)</f>
        <v/>
      </c>
      <c r="D31" s="54" t="n">
        <v>-48.19233598</v>
      </c>
    </row>
    <row r="32">
      <c r="B32" s="66">
        <f>(272743.3*0.99)</f>
        <v/>
      </c>
      <c r="C32" s="64">
        <f>(D32/B32)</f>
        <v/>
      </c>
      <c r="D32" s="54" t="n">
        <v>34.21</v>
      </c>
      <c r="E32" s="55" t="n"/>
    </row>
    <row r="33">
      <c r="B33" s="66" t="n">
        <v>-33998.23</v>
      </c>
      <c r="C33" s="64">
        <f>(D33/B33)</f>
        <v/>
      </c>
      <c r="D33" s="54" t="n">
        <v>-6.45</v>
      </c>
    </row>
    <row r="34">
      <c r="B34" s="66" t="n">
        <v>-20001.77</v>
      </c>
      <c r="C34" s="64">
        <f>(D34/B34)</f>
        <v/>
      </c>
      <c r="D34" s="54" t="n">
        <v>-3.795</v>
      </c>
    </row>
    <row r="35">
      <c r="B35" s="66">
        <f>(62154.32-62.15432)</f>
        <v/>
      </c>
      <c r="C35" s="64">
        <f>(D35/B35)</f>
        <v/>
      </c>
      <c r="D35" s="54" t="n">
        <v>10.1</v>
      </c>
      <c r="E35" s="54" t="n"/>
    </row>
    <row r="36">
      <c r="B36" s="66" t="n">
        <v>-62000</v>
      </c>
      <c r="C36" s="64">
        <f>(D36/B36)</f>
        <v/>
      </c>
      <c r="D36" s="54" t="n">
        <v>-16.02484919</v>
      </c>
      <c r="E36" s="54">
        <f>B36*J3</f>
        <v/>
      </c>
    </row>
    <row r="37">
      <c r="B37" s="66" t="n">
        <v>-150000</v>
      </c>
      <c r="C37" s="64">
        <f>(D37/B37)</f>
        <v/>
      </c>
      <c r="D37" s="54" t="n">
        <v>-38.50217554</v>
      </c>
      <c r="E37" s="54">
        <f>B37*J3</f>
        <v/>
      </c>
    </row>
    <row r="38"/>
    <row r="39">
      <c r="B39">
        <f>(SUM(B5:B38))</f>
        <v/>
      </c>
      <c r="D39" s="54">
        <f>(SUM(D5:D38))</f>
        <v/>
      </c>
      <c r="F39" t="inlineStr">
        <is>
          <t>Moy</t>
        </is>
      </c>
      <c r="G39" s="64">
        <f>(D39/B39)</f>
        <v/>
      </c>
      <c r="R39">
        <f>(SUM(R5:R38))</f>
        <v/>
      </c>
      <c r="T39" s="54">
        <f>(SUM(T5:T38))</f>
        <v/>
      </c>
    </row>
  </sheetData>
  <conditionalFormatting sqref="C5:C9 C14:C16 C25:C26 C28 C30 C32 C3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5:S9 S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3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J3" sqref="J3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0.8038492802416826</v>
      </c>
      <c r="N3" s="19" t="n"/>
      <c r="O3" s="55" t="n"/>
      <c r="P3" s="54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(B18*J3)</f>
        <v/>
      </c>
      <c r="K4" s="4">
        <f>(J4/D18-1)</f>
        <v/>
      </c>
      <c r="O4" s="54" t="n"/>
      <c r="P4" s="54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4">
        <f>(D5/B5)</f>
        <v/>
      </c>
      <c r="D5" s="54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4">
        <f>(T5/R5)</f>
        <v/>
      </c>
      <c r="T5" s="54">
        <f>D5</f>
        <v/>
      </c>
    </row>
    <row r="6">
      <c r="B6" s="20" t="n">
        <v>0.31834421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19">
        <f>($B$7+$R$9)/5</f>
        <v/>
      </c>
      <c r="O6" s="54">
        <f>($S$7*Params!K8)</f>
        <v/>
      </c>
      <c r="P6" s="54">
        <f>(O6*N6)</f>
        <v/>
      </c>
      <c r="R6" s="78">
        <f>(B6)</f>
        <v/>
      </c>
      <c r="S6" s="59" t="n">
        <v>0</v>
      </c>
      <c r="T6" s="60">
        <f>(D6)</f>
        <v/>
      </c>
      <c r="U6" s="54">
        <f>(R6*J3)</f>
        <v/>
      </c>
    </row>
    <row r="7">
      <c r="B7" s="19" t="n">
        <v>42.86060673</v>
      </c>
      <c r="C7" s="54">
        <f>(D7/B7)</f>
        <v/>
      </c>
      <c r="D7" s="54" t="n">
        <v>39.5</v>
      </c>
      <c r="E7" t="inlineStr">
        <is>
          <t>DCA2</t>
        </is>
      </c>
      <c r="N7" s="19">
        <f>($B$7+$R$9)/5</f>
        <v/>
      </c>
      <c r="O7" s="54">
        <f>($S$7*Params!K9)</f>
        <v/>
      </c>
      <c r="P7" s="54">
        <f>(O7*N7)</f>
        <v/>
      </c>
      <c r="R7" s="19">
        <f>B7</f>
        <v/>
      </c>
      <c r="S7" s="54">
        <f>(T7/R7)</f>
        <v/>
      </c>
      <c r="T7" s="54">
        <f>D7</f>
        <v/>
      </c>
      <c r="U7" t="inlineStr">
        <is>
          <t>DCA2</t>
        </is>
      </c>
    </row>
    <row r="8">
      <c r="B8" s="19" t="n">
        <v>0.63003905</v>
      </c>
      <c r="C8" s="54">
        <f>(D8/B8)</f>
        <v/>
      </c>
      <c r="D8" s="54" t="n">
        <v>0.5</v>
      </c>
      <c r="N8" s="19">
        <f>($B$7+$R$9)/5</f>
        <v/>
      </c>
      <c r="O8" s="54">
        <f>($S$7*Params!K10)</f>
        <v/>
      </c>
      <c r="P8" s="54">
        <f>(O8*N8)</f>
        <v/>
      </c>
      <c r="R8" s="19">
        <f>B8</f>
        <v/>
      </c>
      <c r="S8" s="54">
        <f>C8</f>
        <v/>
      </c>
      <c r="T8" s="55">
        <f>D8</f>
        <v/>
      </c>
    </row>
    <row r="9">
      <c r="B9" s="19" t="n">
        <v>-1.08</v>
      </c>
      <c r="C9" s="54">
        <f>(D9/B9)</f>
        <v/>
      </c>
      <c r="D9" s="54" t="n">
        <v>-1.134</v>
      </c>
      <c r="N9" s="19">
        <f>($B$7+$R$9)/5</f>
        <v/>
      </c>
      <c r="O9" s="54">
        <f>($C$7*Params!K11)</f>
        <v/>
      </c>
      <c r="P9" s="54">
        <f>(O9*N9)</f>
        <v/>
      </c>
      <c r="R9" s="19">
        <f>SUM(B9,B12,B13,B16)</f>
        <v/>
      </c>
      <c r="S9" s="54" t="n">
        <v>0</v>
      </c>
      <c r="T9" s="54">
        <f>SUM(D9,D12,D13,D16)</f>
        <v/>
      </c>
    </row>
    <row r="10">
      <c r="B10" s="19" t="n">
        <v>-2.44</v>
      </c>
      <c r="C10" s="54">
        <f>(D10/B10)</f>
        <v/>
      </c>
      <c r="D10" s="54" t="n">
        <v>-2.64426302</v>
      </c>
      <c r="O10" s="54" t="n"/>
      <c r="P10" s="54" t="n"/>
      <c r="R10" s="19">
        <f>SUM(B10,B11,B14,B15,)</f>
        <v/>
      </c>
      <c r="S10" s="54" t="n">
        <v>0</v>
      </c>
      <c r="T10" s="54">
        <f>SUM(D10,D11,D14,D15)</f>
        <v/>
      </c>
    </row>
    <row r="11">
      <c r="B11" s="19" t="n">
        <v>-2.44</v>
      </c>
      <c r="C11" s="54">
        <f>(D11/B11)</f>
        <v/>
      </c>
      <c r="D11" s="54" t="n">
        <v>-3.18898028</v>
      </c>
      <c r="O11" s="54" t="n"/>
      <c r="P11" s="54">
        <f>(SUM(P6:P9))</f>
        <v/>
      </c>
      <c r="R11" s="19" t="n"/>
      <c r="S11" s="54" t="n"/>
      <c r="T11" s="54" t="n"/>
    </row>
    <row r="12">
      <c r="B12" s="19" t="n">
        <v>-2.72</v>
      </c>
      <c r="C12" s="54">
        <f>(D12/B12)</f>
        <v/>
      </c>
      <c r="D12" s="54" t="n">
        <v>-4.01642344</v>
      </c>
      <c r="O12" s="54" t="n"/>
      <c r="P12" s="54" t="n"/>
      <c r="S12" s="54" t="n"/>
      <c r="T12" s="54" t="n"/>
    </row>
    <row r="13">
      <c r="B13" s="19" t="n">
        <v>3.02232854</v>
      </c>
      <c r="C13" s="54">
        <f>(D13/B13)</f>
        <v/>
      </c>
      <c r="D13" s="54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4" t="n"/>
      <c r="T13" s="54" t="n"/>
    </row>
    <row r="14">
      <c r="B14" s="19" t="n">
        <v>2.71232876</v>
      </c>
      <c r="C14" s="54">
        <f>(D14/B14)</f>
        <v/>
      </c>
      <c r="D14" s="54" t="n">
        <v>2.97</v>
      </c>
      <c r="M14" t="inlineStr">
        <is>
          <t>Objectif</t>
        </is>
      </c>
      <c r="N14" s="19">
        <f>($B$5+$R$10)/5</f>
        <v/>
      </c>
      <c r="O14" s="54">
        <f>($C$5*Params!K8)</f>
        <v/>
      </c>
      <c r="P14" s="54">
        <f>(O14*N14)</f>
        <v/>
      </c>
      <c r="S14" s="54" t="n"/>
      <c r="T14" s="54" t="n"/>
    </row>
    <row r="15">
      <c r="B15" s="19">
        <f>2.44/0.9</f>
        <v/>
      </c>
      <c r="C15" s="54" t="n">
        <v>0.847152</v>
      </c>
      <c r="D15" s="54">
        <f>B15*C15</f>
        <v/>
      </c>
      <c r="N15" s="19">
        <f>($B$5+$R$10)/5</f>
        <v/>
      </c>
      <c r="O15" s="54">
        <f>($C$5*Params!K9)</f>
        <v/>
      </c>
      <c r="P15" s="54">
        <f>(O15*N15)</f>
        <v/>
      </c>
      <c r="S15" s="54" t="n"/>
      <c r="T15" s="54" t="n"/>
    </row>
    <row r="16">
      <c r="B16" s="19">
        <f>4.11968757-B15</f>
        <v/>
      </c>
      <c r="C16" s="54" t="n">
        <v>0.847152</v>
      </c>
      <c r="D16" s="54">
        <f>B16*C16</f>
        <v/>
      </c>
      <c r="N16" s="19">
        <f>($B$5+$R$10)/5</f>
        <v/>
      </c>
      <c r="O16" s="54">
        <f>($C$5*Params!K10)</f>
        <v/>
      </c>
      <c r="P16" s="54">
        <f>(O16*N16)</f>
        <v/>
      </c>
      <c r="S16" s="54" t="n"/>
      <c r="T16" s="54" t="n"/>
    </row>
    <row r="17">
      <c r="B17" s="19" t="n"/>
      <c r="F17" t="inlineStr">
        <is>
          <t>Moy</t>
        </is>
      </c>
      <c r="G17" s="54">
        <f>(D18/B18)</f>
        <v/>
      </c>
      <c r="N17" s="19">
        <f>($B$5+$R$10)/5</f>
        <v/>
      </c>
      <c r="O17" s="54">
        <f>($C$5*Params!K11)</f>
        <v/>
      </c>
      <c r="P17" s="54">
        <f>(O17*N17)</f>
        <v/>
      </c>
      <c r="R17">
        <f>(SUM(R5:R12))</f>
        <v/>
      </c>
      <c r="S17" s="54" t="n"/>
      <c r="T17" s="54">
        <f>(SUM(T5:T12))</f>
        <v/>
      </c>
    </row>
    <row r="18">
      <c r="B18" s="19">
        <f>(SUM(B5:B17))</f>
        <v/>
      </c>
      <c r="D18" s="54">
        <f>(SUM(D5:D17))</f>
        <v/>
      </c>
      <c r="O18" s="54" t="n"/>
      <c r="P18" s="54" t="n"/>
    </row>
    <row r="19">
      <c r="O19" s="54" t="n"/>
      <c r="P19" s="54" t="n"/>
    </row>
    <row r="20">
      <c r="O20" s="54" t="n"/>
      <c r="P20" s="54">
        <f>(SUM(P14:P17))</f>
        <v/>
      </c>
    </row>
    <row r="21"/>
    <row r="22"/>
    <row r="23"/>
    <row r="24"/>
    <row r="25"/>
    <row r="26"/>
    <row r="27">
      <c r="H27" s="55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C5" sqref="C5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34"/>
    <col width="9.140625" customWidth="1" style="14" min="35" max="16384"/>
  </cols>
  <sheetData>
    <row r="1"/>
    <row r="2"/>
    <row r="3">
      <c r="I3" t="inlineStr">
        <is>
          <t>Actual Price :</t>
        </is>
      </c>
      <c r="J3" s="54" t="n">
        <v>0.02992208068521659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(B10*J3)</f>
        <v/>
      </c>
      <c r="K4" s="4">
        <f>(J4/D10-1)</f>
        <v/>
      </c>
    </row>
    <row r="5">
      <c r="B5" s="66" t="n">
        <v>64.74873341</v>
      </c>
      <c r="C5" s="54">
        <f>(D5/B5)</f>
        <v/>
      </c>
      <c r="D5" s="54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8" t="n">
        <v>0.0432526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66">
        <f>($B$10/5)</f>
        <v/>
      </c>
      <c r="O6" s="54">
        <f>($C$5*Params!K8)</f>
        <v/>
      </c>
      <c r="P6" s="54">
        <f>(O6*N6)</f>
        <v/>
      </c>
    </row>
    <row r="7">
      <c r="B7" s="66" t="n"/>
      <c r="C7" s="54" t="n"/>
      <c r="D7" s="56" t="n"/>
      <c r="E7" s="54" t="n"/>
      <c r="N7" s="66">
        <f>($B$10/5)</f>
        <v/>
      </c>
      <c r="O7" s="54">
        <f>($C$5*Params!K9)</f>
        <v/>
      </c>
      <c r="P7" s="54">
        <f>(O7*N7)</f>
        <v/>
      </c>
    </row>
    <row r="8">
      <c r="N8" s="66">
        <f>($B$10/5)</f>
        <v/>
      </c>
      <c r="O8" s="54">
        <f>($C$5*Params!K10)</f>
        <v/>
      </c>
      <c r="P8" s="54">
        <f>(O8*N8)</f>
        <v/>
      </c>
    </row>
    <row r="9">
      <c r="F9" t="inlineStr">
        <is>
          <t>Moy</t>
        </is>
      </c>
      <c r="G9" s="54">
        <f>(D10/B10)</f>
        <v/>
      </c>
      <c r="N9" s="66">
        <f>($B$10/5)</f>
        <v/>
      </c>
      <c r="O9" s="54">
        <f>($C$5*Params!K11)</f>
        <v/>
      </c>
      <c r="P9" s="54">
        <f>(O9*N9)</f>
        <v/>
      </c>
    </row>
    <row r="10">
      <c r="B10" s="66">
        <f>(SUM(B5:B9))</f>
        <v/>
      </c>
      <c r="D10" s="54">
        <f>(SUM(D5:D9))</f>
        <v/>
      </c>
    </row>
    <row r="11">
      <c r="P11" s="54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57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L11" sqref="L1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0.7611816438624593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(B10*J3)</f>
        <v/>
      </c>
      <c r="K4" s="4">
        <f>(J4/D10-1)</f>
        <v/>
      </c>
    </row>
    <row r="5">
      <c r="B5" s="66" t="n">
        <v>52.2477</v>
      </c>
      <c r="C5" s="54">
        <f>(D5/B5)</f>
        <v/>
      </c>
      <c r="D5" s="54" t="n">
        <v>39.59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8" t="n">
        <v>0.3317252</v>
      </c>
      <c r="C6" s="59" t="n">
        <v>0</v>
      </c>
      <c r="D6" s="60">
        <f>(B6*C6)</f>
        <v/>
      </c>
      <c r="E6" s="54">
        <f>(B6*J3)</f>
        <v/>
      </c>
      <c r="M6" t="inlineStr">
        <is>
          <t>Objectif</t>
        </is>
      </c>
      <c r="N6" s="66">
        <f>($B$10/5)</f>
        <v/>
      </c>
      <c r="O6" s="54">
        <f>($C$5*Params!K8)</f>
        <v/>
      </c>
      <c r="P6" s="54">
        <f>(O6*N6)</f>
        <v/>
      </c>
    </row>
    <row r="7">
      <c r="B7" s="66" t="n">
        <v>2.381</v>
      </c>
      <c r="C7" s="54" t="n">
        <v>0</v>
      </c>
      <c r="D7" s="56">
        <f>(B7*C7)</f>
        <v/>
      </c>
      <c r="E7" s="54">
        <f>(B7*J3)</f>
        <v/>
      </c>
      <c r="N7" s="66">
        <f>($B$10/5)</f>
        <v/>
      </c>
      <c r="O7" s="54">
        <f>($C$5*Params!K9)</f>
        <v/>
      </c>
      <c r="P7" s="54">
        <f>(O7*N7)</f>
        <v/>
      </c>
    </row>
    <row r="8">
      <c r="N8" s="66">
        <f>($B$10/5)</f>
        <v/>
      </c>
      <c r="O8" s="54">
        <f>($C$5*Params!K10)</f>
        <v/>
      </c>
      <c r="P8" s="54">
        <f>(O8*N8)</f>
        <v/>
      </c>
    </row>
    <row r="9">
      <c r="F9" t="inlineStr">
        <is>
          <t>Moy</t>
        </is>
      </c>
      <c r="G9" s="54">
        <f>(D10/B10)</f>
        <v/>
      </c>
      <c r="N9" s="66">
        <f>($B$10/5)</f>
        <v/>
      </c>
      <c r="O9" s="54">
        <f>($C$5*Params!K11)</f>
        <v/>
      </c>
      <c r="P9" s="54">
        <f>(O9*N9)</f>
        <v/>
      </c>
    </row>
    <row r="10">
      <c r="B10" s="66">
        <f>(SUM(B5:B9))</f>
        <v/>
      </c>
      <c r="D10" s="54">
        <f>(SUM(D5:D9))</f>
        <v/>
      </c>
    </row>
    <row r="11">
      <c r="P11" s="54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57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V24"/>
  <sheetViews>
    <sheetView workbookViewId="0">
      <selection activeCell="N14" sqref="N1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2.400834889141879</v>
      </c>
      <c r="M3" t="inlineStr">
        <is>
          <t>Objectif :</t>
        </is>
      </c>
      <c r="N3" s="57">
        <f>(INDEX(N5:N27,MATCH(MAX(O6,O14),O5:O27,0))/0.9)</f>
        <v/>
      </c>
      <c r="O3" s="55">
        <f>(MAX(O6,O14)*0.85)</f>
        <v/>
      </c>
      <c r="P3" s="54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(B21*J3)</f>
        <v/>
      </c>
      <c r="K4" s="4">
        <f>(J4/D21-1)</f>
        <v/>
      </c>
      <c r="O4" s="54" t="n"/>
      <c r="P4" s="54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4">
        <f>(D5/B5)</f>
        <v/>
      </c>
      <c r="D5" s="54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4">
        <f>(T5/R5)</f>
        <v/>
      </c>
      <c r="T5" s="54">
        <f>(D5)</f>
        <v/>
      </c>
    </row>
    <row r="6">
      <c r="B6" s="1" t="n">
        <v>22.36597834</v>
      </c>
      <c r="C6" s="54">
        <f>(D6/B6)</f>
        <v/>
      </c>
      <c r="D6" s="54" t="n">
        <v>39.5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4">
        <f>P6/N6</f>
        <v/>
      </c>
      <c r="P6" s="54">
        <f>-D18</f>
        <v/>
      </c>
      <c r="Q6" t="inlineStr">
        <is>
          <t>Done</t>
        </is>
      </c>
      <c r="R6" s="1">
        <f>B6+B19</f>
        <v/>
      </c>
      <c r="S6" s="54">
        <f>(T6/R6)</f>
        <v/>
      </c>
      <c r="T6" s="54">
        <f>D6+B19*1.74</f>
        <v/>
      </c>
      <c r="U6" s="54">
        <f>(E6)</f>
        <v/>
      </c>
    </row>
    <row r="7">
      <c r="B7" s="2" t="n">
        <v>0.10024116</v>
      </c>
      <c r="C7" s="59" t="n">
        <v>0</v>
      </c>
      <c r="D7" s="60" t="n">
        <v>0</v>
      </c>
      <c r="E7" s="55">
        <f>B7*J3</f>
        <v/>
      </c>
      <c r="N7" s="1">
        <f>(($B$5+$R$9)/5)</f>
        <v/>
      </c>
      <c r="O7" s="54">
        <f>($C$5*Params!K9)</f>
        <v/>
      </c>
      <c r="P7" s="54">
        <f>(O7*N7)</f>
        <v/>
      </c>
      <c r="R7" s="2">
        <f>(B7)</f>
        <v/>
      </c>
      <c r="S7" s="59" t="n">
        <v>0</v>
      </c>
      <c r="T7" s="60">
        <f>(D7)</f>
        <v/>
      </c>
    </row>
    <row r="8">
      <c r="B8" s="1" t="n">
        <v>-0.6</v>
      </c>
      <c r="C8" s="54">
        <f>(D8/B8)</f>
        <v/>
      </c>
      <c r="D8" s="54" t="n">
        <v>-1.15882087</v>
      </c>
      <c r="N8" s="1">
        <f>(($B$5+$R$9)/5)</f>
        <v/>
      </c>
      <c r="O8" s="54">
        <f>($C$5*Params!K10)</f>
        <v/>
      </c>
      <c r="P8" s="54">
        <f>(O8*N8)</f>
        <v/>
      </c>
      <c r="R8" s="1">
        <f>(B10+B13+B8+B17)</f>
        <v/>
      </c>
      <c r="S8" s="54" t="n">
        <v>0</v>
      </c>
      <c r="T8" s="54">
        <f>(D10+D13+D8+D17)</f>
        <v/>
      </c>
      <c r="U8" t="inlineStr">
        <is>
          <t>DCA2</t>
        </is>
      </c>
      <c r="V8" s="55">
        <f>-T8+R8*$J$3</f>
        <v/>
      </c>
    </row>
    <row r="9">
      <c r="B9" s="1" t="n">
        <v>-0.358</v>
      </c>
      <c r="C9" s="54">
        <f>(D9/B9)</f>
        <v/>
      </c>
      <c r="D9" s="54">
        <f>(-0.764+0.005)</f>
        <v/>
      </c>
      <c r="N9" s="1">
        <f>(($B$5+$R$9)/5)</f>
        <v/>
      </c>
      <c r="O9" s="54">
        <f>($C$5*Params!K11)</f>
        <v/>
      </c>
      <c r="P9" s="54">
        <f>(O9*N9)</f>
        <v/>
      </c>
      <c r="R9" s="1">
        <f>(B12+B11+B9+B14+B15+B16)</f>
        <v/>
      </c>
      <c r="S9" s="54" t="n">
        <v>0</v>
      </c>
      <c r="T9" s="54">
        <f>(D12+D11+D9+D14)+D15+D16</f>
        <v/>
      </c>
      <c r="U9" t="inlineStr">
        <is>
          <t>Learn</t>
        </is>
      </c>
      <c r="V9" s="55">
        <f>-T9+R9*$J$3</f>
        <v/>
      </c>
    </row>
    <row r="10">
      <c r="B10" s="1" t="n">
        <v>-0.6</v>
      </c>
      <c r="C10" s="54">
        <f>(D10/B10)</f>
        <v/>
      </c>
      <c r="D10" s="54" t="n">
        <v>-1.353</v>
      </c>
      <c r="N10" s="1" t="n"/>
      <c r="O10" s="54" t="n"/>
      <c r="P10" s="54" t="n"/>
      <c r="R10" s="1">
        <f>B18</f>
        <v/>
      </c>
      <c r="S10" s="54">
        <f>T10/R10</f>
        <v/>
      </c>
      <c r="T10" s="54">
        <f>D18</f>
        <v/>
      </c>
      <c r="U10" t="inlineStr">
        <is>
          <t>Learn 1/5</t>
        </is>
      </c>
    </row>
    <row r="11">
      <c r="B11" s="1" t="n">
        <v>-0.357420357420357</v>
      </c>
      <c r="C11" s="54">
        <f>(D11/B11)</f>
        <v/>
      </c>
      <c r="D11" s="54" t="n">
        <v>-0.895829</v>
      </c>
      <c r="N11" s="1" t="n"/>
      <c r="O11" s="54" t="n"/>
      <c r="P11" s="54">
        <f>(SUM(P6:P9))</f>
        <v/>
      </c>
      <c r="R11" s="1">
        <f>B19-B19</f>
        <v/>
      </c>
      <c r="S11" s="54" t="n">
        <v>0</v>
      </c>
      <c r="T11" s="55">
        <f>D19-B19*1.74</f>
        <v/>
      </c>
    </row>
    <row r="12">
      <c r="B12" s="1" t="n">
        <v>0.388533371311533</v>
      </c>
      <c r="C12" s="54">
        <f>(D12/B12)</f>
        <v/>
      </c>
      <c r="D12" s="54" t="n">
        <v>0.84983</v>
      </c>
      <c r="N12" s="1" t="n"/>
      <c r="O12" s="54" t="n"/>
      <c r="P12" s="54" t="n"/>
      <c r="S12" s="54" t="n"/>
      <c r="T12" s="54" t="n"/>
    </row>
    <row r="13">
      <c r="B13" s="1" t="n">
        <v>0.66773927</v>
      </c>
      <c r="C13" s="54">
        <f>(D13/B13)</f>
        <v/>
      </c>
      <c r="D13" s="54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4" t="n"/>
      <c r="T13" s="54" t="n"/>
    </row>
    <row r="14">
      <c r="B14" s="1" t="n">
        <v>0.393802115862377</v>
      </c>
      <c r="C14" s="54">
        <f>(D14/B14)</f>
        <v/>
      </c>
      <c r="D14" s="54" t="n">
        <v>0.696157</v>
      </c>
      <c r="M14" t="inlineStr">
        <is>
          <t>Objectif</t>
        </is>
      </c>
      <c r="N14" s="1">
        <f>-B19</f>
        <v/>
      </c>
      <c r="O14" s="54">
        <f>P14/N14</f>
        <v/>
      </c>
      <c r="P14" s="54">
        <f>-D19</f>
        <v/>
      </c>
      <c r="Q14" t="inlineStr">
        <is>
          <t>Done</t>
        </is>
      </c>
      <c r="S14" s="54" t="n"/>
      <c r="T14" s="54" t="n"/>
    </row>
    <row r="15">
      <c r="B15" s="1" t="n">
        <v>-0.364896073903002</v>
      </c>
      <c r="C15" s="54">
        <f>(D15/B15)</f>
        <v/>
      </c>
      <c r="D15" s="54" t="n">
        <v>-0.767007</v>
      </c>
      <c r="N15" s="1">
        <f>(($B$6+$R$8)/5)</f>
        <v/>
      </c>
      <c r="O15" s="54">
        <f>($S$6*Params!K9)</f>
        <v/>
      </c>
      <c r="P15" s="54">
        <f>(O15*N15)</f>
        <v/>
      </c>
      <c r="S15" s="54" t="n"/>
      <c r="T15" s="54" t="n"/>
    </row>
    <row r="16">
      <c r="B16" s="1" t="n">
        <v>0.419286856535433</v>
      </c>
      <c r="C16" s="54">
        <f>(D16/B16)</f>
        <v/>
      </c>
      <c r="D16" s="54" t="n">
        <v>0.709744</v>
      </c>
      <c r="N16" s="1">
        <f>(($B$6+$R$8)/5)</f>
        <v/>
      </c>
      <c r="O16" s="54">
        <f>($C$6*Params!K10)</f>
        <v/>
      </c>
      <c r="P16" s="54">
        <f>(O16*N16)</f>
        <v/>
      </c>
      <c r="S16" s="54" t="n"/>
      <c r="T16" s="54" t="n"/>
    </row>
    <row r="17">
      <c r="B17" s="1" t="n">
        <v>0.668076</v>
      </c>
      <c r="C17" s="54">
        <f>(D17/B17)</f>
        <v/>
      </c>
      <c r="D17" s="54" t="n">
        <v>1.1</v>
      </c>
      <c r="N17" s="1">
        <f>(($B$6+$R$8)/5)</f>
        <v/>
      </c>
      <c r="O17" s="54">
        <f>($C$6*Params!K11)</f>
        <v/>
      </c>
      <c r="P17" s="54">
        <f>(O17*N17)</f>
        <v/>
      </c>
      <c r="S17" s="54" t="n"/>
      <c r="T17" s="54" t="n"/>
    </row>
    <row r="18">
      <c r="B18" s="1" t="n">
        <v>-0.377697841726618</v>
      </c>
      <c r="C18" s="54">
        <f>(D18/B18)</f>
        <v/>
      </c>
      <c r="D18" s="54" t="n">
        <v>-0.82209</v>
      </c>
      <c r="E18">
        <f>U10</f>
        <v/>
      </c>
      <c r="N18" s="1" t="n"/>
      <c r="O18" s="54" t="n"/>
      <c r="P18" s="54" t="n"/>
      <c r="S18" s="54" t="n"/>
      <c r="T18" s="54" t="n"/>
    </row>
    <row r="19">
      <c r="B19" s="1" t="n">
        <v>-4.3</v>
      </c>
      <c r="C19" s="54">
        <f>(D19/B19)</f>
        <v/>
      </c>
      <c r="D19" s="54" t="n">
        <v>-10.15814138</v>
      </c>
      <c r="O19" s="54" t="n"/>
      <c r="P19" s="54">
        <f>(SUM(P14:P17))</f>
        <v/>
      </c>
      <c r="S19" s="54" t="n"/>
      <c r="T19" s="54" t="n"/>
    </row>
    <row r="20">
      <c r="C20" s="54" t="n"/>
      <c r="D20" s="54" t="n"/>
      <c r="F20" t="inlineStr">
        <is>
          <t>Moy</t>
        </is>
      </c>
      <c r="G20" s="54">
        <f>(D21/B21)</f>
        <v/>
      </c>
      <c r="S20" s="54" t="n"/>
      <c r="T20" s="54" t="n"/>
    </row>
    <row r="21">
      <c r="B21" s="1">
        <f>(SUM(B5:B20))</f>
        <v/>
      </c>
      <c r="C21" s="54" t="n"/>
      <c r="D21" s="54">
        <f>(SUM(D5:D20))</f>
        <v/>
      </c>
      <c r="S21" s="54" t="n"/>
      <c r="T21" s="54" t="n"/>
    </row>
    <row r="22">
      <c r="S22" s="54" t="n"/>
      <c r="T22" s="54" t="n"/>
    </row>
    <row r="23">
      <c r="S23" s="54" t="n"/>
      <c r="T23" s="54" t="n"/>
    </row>
    <row r="24">
      <c r="R24" s="1">
        <f>(SUM(R5:R23))</f>
        <v/>
      </c>
      <c r="S24" s="54" t="n"/>
      <c r="T24" s="54">
        <f>(SUM(T5:T23))</f>
        <v/>
      </c>
    </row>
  </sheetData>
  <conditionalFormatting sqref="C5:C6 C12:C14 C16:C17 O7:O9 O15:O17 S5: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T41" sqref="T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55"/>
    <col width="9.140625" customWidth="1" style="14" min="56" max="16384"/>
  </cols>
  <sheetData>
    <row r="1"/>
    <row r="2"/>
    <row r="3">
      <c r="I3" t="inlineStr">
        <is>
          <t>Actual Price :</t>
        </is>
      </c>
      <c r="J3" s="76" t="n">
        <v>0.3431798937386808</v>
      </c>
      <c r="O3" s="55" t="n"/>
      <c r="P3" s="54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9.409654700000001</v>
      </c>
      <c r="C5" s="54">
        <f>(D5/B5)</f>
        <v/>
      </c>
      <c r="D5" s="54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4">
        <f>(T5/R5)</f>
        <v/>
      </c>
      <c r="T5" s="54">
        <f>D5</f>
        <v/>
      </c>
    </row>
    <row r="6">
      <c r="B6" s="78" t="n">
        <v>0.07461515000000001</v>
      </c>
      <c r="C6" s="59" t="n">
        <v>0</v>
      </c>
      <c r="D6" s="59">
        <f>(B6*C6)</f>
        <v/>
      </c>
      <c r="E6" s="54">
        <f>(B6*J3)</f>
        <v/>
      </c>
      <c r="M6" t="inlineStr">
        <is>
          <t>Objectif</t>
        </is>
      </c>
      <c r="N6" s="66">
        <f>($B$14/5)</f>
        <v/>
      </c>
      <c r="O6" s="54">
        <f>($C$5*Params!K8)</f>
        <v/>
      </c>
      <c r="P6" s="54">
        <f>(O6*N6)</f>
        <v/>
      </c>
      <c r="R6" s="78">
        <f>(B6)</f>
        <v/>
      </c>
      <c r="S6" s="59" t="n">
        <v>0</v>
      </c>
      <c r="T6" s="59">
        <f>(D6)</f>
        <v/>
      </c>
      <c r="U6" s="54">
        <f>(E6)</f>
        <v/>
      </c>
    </row>
    <row r="7">
      <c r="B7" s="66" t="n"/>
      <c r="C7" s="54" t="n"/>
      <c r="D7" s="54" t="n"/>
      <c r="N7" s="66">
        <f>($B$14/5)</f>
        <v/>
      </c>
      <c r="O7" s="54">
        <f>($C$5*Params!K9)</f>
        <v/>
      </c>
      <c r="P7" s="54">
        <f>(O7*N7)</f>
        <v/>
      </c>
      <c r="R7" s="66" t="n"/>
      <c r="S7" s="54" t="n"/>
      <c r="T7" s="54" t="n"/>
      <c r="U7" s="55" t="n"/>
    </row>
    <row r="8">
      <c r="B8" s="66" t="n"/>
      <c r="C8" s="54" t="n"/>
      <c r="D8" s="54" t="n"/>
      <c r="N8" s="66">
        <f>($B$14/5)</f>
        <v/>
      </c>
      <c r="O8" s="54">
        <f>($C$5*Params!K10)</f>
        <v/>
      </c>
      <c r="P8" s="54">
        <f>(O8*N8)</f>
        <v/>
      </c>
      <c r="R8" s="66" t="n"/>
      <c r="S8" s="54" t="n"/>
      <c r="T8" s="54" t="n"/>
    </row>
    <row r="9">
      <c r="B9" s="66" t="n"/>
      <c r="C9" s="54" t="n"/>
      <c r="D9" s="54" t="n"/>
      <c r="N9" s="66">
        <f>($B$14/5)</f>
        <v/>
      </c>
      <c r="O9" s="54">
        <f>($C$5*Params!K11)</f>
        <v/>
      </c>
      <c r="P9" s="54">
        <f>(O9*N9)</f>
        <v/>
      </c>
    </row>
    <row r="10">
      <c r="B10" s="66" t="n"/>
      <c r="C10" s="54" t="n"/>
      <c r="D10" s="54" t="n"/>
    </row>
    <row r="11"/>
    <row r="12">
      <c r="P12" s="54">
        <f>(SUM(P6:P9))</f>
        <v/>
      </c>
    </row>
    <row r="13">
      <c r="F13" t="inlineStr">
        <is>
          <t>Moy</t>
        </is>
      </c>
      <c r="G13" s="54">
        <f>(D14/B14)</f>
        <v/>
      </c>
    </row>
    <row r="14">
      <c r="B14" s="66">
        <f>(SUM(B5:B13))</f>
        <v/>
      </c>
      <c r="D14" s="54">
        <f>(SUM(D5:D13))</f>
        <v/>
      </c>
    </row>
    <row r="15"/>
    <row r="16"/>
    <row r="17">
      <c r="N17" s="66" t="n"/>
      <c r="R17" s="66">
        <f>(SUM(R5:R16))</f>
        <v/>
      </c>
      <c r="T17" s="54">
        <f>(SUM(T5:T16))</f>
        <v/>
      </c>
    </row>
    <row r="18"/>
    <row r="19"/>
    <row r="20">
      <c r="K20" s="55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S41" sqref="S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3" t="n">
        <v>1.050048003094031e-05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</row>
    <row r="5">
      <c r="B5" s="22" t="n">
        <v>439531.68</v>
      </c>
      <c r="C5" s="83">
        <f>(D5/B5)</f>
        <v/>
      </c>
      <c r="D5" s="54" t="n">
        <v>5.03</v>
      </c>
      <c r="E5" s="54" t="n"/>
      <c r="F5" s="54" t="n"/>
      <c r="G5" s="54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8" t="n">
        <v>257.89</v>
      </c>
      <c r="C6" s="59" t="n">
        <v>0</v>
      </c>
      <c r="D6" s="60">
        <f>(B6*C6)</f>
        <v/>
      </c>
      <c r="E6" s="54">
        <f>(B6*J3)</f>
        <v/>
      </c>
      <c r="F6" s="54" t="n"/>
      <c r="G6" s="54" t="n"/>
      <c r="M6" t="inlineStr">
        <is>
          <t>Objectif</t>
        </is>
      </c>
      <c r="N6" s="22">
        <f>($B$5/5)</f>
        <v/>
      </c>
      <c r="O6" s="64">
        <f>($C$5*Params!K8)</f>
        <v/>
      </c>
      <c r="P6" s="54">
        <f>(O6*N6)</f>
        <v/>
      </c>
    </row>
    <row r="7">
      <c r="C7" s="54" t="n"/>
      <c r="D7" s="54" t="n"/>
      <c r="E7" s="54" t="n"/>
      <c r="F7" s="54" t="n"/>
      <c r="G7" s="54" t="n"/>
      <c r="N7" s="22">
        <f>($B$5/5)</f>
        <v/>
      </c>
      <c r="O7" s="64">
        <f>($C$5*Params!K9)</f>
        <v/>
      </c>
      <c r="P7" s="54">
        <f>(O7*N7)</f>
        <v/>
      </c>
    </row>
    <row r="8">
      <c r="C8" s="54" t="n"/>
      <c r="D8" s="54" t="n"/>
      <c r="E8" s="54" t="n"/>
      <c r="F8" s="54" t="n"/>
      <c r="G8" s="54" t="n"/>
      <c r="N8" s="22">
        <f>($B$5/5)</f>
        <v/>
      </c>
      <c r="O8" s="64">
        <f>($C$5*Params!K10)</f>
        <v/>
      </c>
      <c r="P8" s="54">
        <f>(O8*N8)</f>
        <v/>
      </c>
    </row>
    <row r="9">
      <c r="C9" s="54" t="n"/>
      <c r="D9" s="54" t="n"/>
      <c r="E9" s="54" t="n"/>
      <c r="F9" s="54" t="n"/>
      <c r="G9" s="54" t="n"/>
      <c r="N9" s="22">
        <f>($B$5/5)</f>
        <v/>
      </c>
      <c r="O9" s="64">
        <f>($C$5*Params!K11)</f>
        <v/>
      </c>
      <c r="P9" s="54">
        <f>(O9*N9)</f>
        <v/>
      </c>
    </row>
    <row r="10">
      <c r="C10" s="54" t="n"/>
      <c r="D10" s="54" t="n"/>
      <c r="E10" s="54" t="n"/>
      <c r="F10" s="54" t="n"/>
      <c r="G10" s="54" t="n"/>
      <c r="O10" s="54" t="n"/>
      <c r="P10" s="54" t="n"/>
    </row>
    <row r="11">
      <c r="C11" s="54" t="n"/>
      <c r="D11" s="54" t="n"/>
      <c r="E11" s="54" t="n"/>
      <c r="F11" s="54" t="n"/>
      <c r="G11" s="54" t="n"/>
      <c r="O11" s="54" t="n"/>
      <c r="P11" s="54">
        <f>(SUM(P6:P9))</f>
        <v/>
      </c>
    </row>
    <row r="12">
      <c r="C12" s="54" t="n"/>
      <c r="D12" s="54" t="n"/>
      <c r="E12" s="54" t="n"/>
      <c r="F12" s="54" t="inlineStr">
        <is>
          <t>Moy</t>
        </is>
      </c>
      <c r="G12" s="54">
        <f>(D13/B13)</f>
        <v/>
      </c>
    </row>
    <row r="13">
      <c r="B13">
        <f>(SUM(B5:B12))</f>
        <v/>
      </c>
      <c r="C13" s="54" t="n"/>
      <c r="D13" s="54">
        <f>(SUM(D5:D12))</f>
        <v/>
      </c>
      <c r="E13" s="54" t="n"/>
      <c r="F13" s="54" t="n"/>
      <c r="G13" s="54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W47"/>
  <sheetViews>
    <sheetView workbookViewId="0">
      <selection activeCell="N3" sqref="N3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75.90667892669951</v>
      </c>
      <c r="M3" t="inlineStr">
        <is>
          <t>Objectif :</t>
        </is>
      </c>
      <c r="N3" s="57">
        <f>(INDEX(N5:N26,MATCH(MAX(O6:O9,O23:O25,O14:O16),O5:O26,0))/0.9)</f>
        <v/>
      </c>
      <c r="O3" s="55">
        <f>(MAX(O14:O16,O23:O25,O6:O9)*0.85)</f>
        <v/>
      </c>
      <c r="P3" s="54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4">
        <f>(B43*J3)</f>
        <v/>
      </c>
      <c r="K4" s="4">
        <f>(J4/D43-1)</f>
        <v/>
      </c>
      <c r="O4" s="54" t="n"/>
      <c r="P4" s="54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7">
        <f>(0.108955+8*0.0233458)</f>
        <v/>
      </c>
      <c r="C5" s="54" t="n">
        <v>196</v>
      </c>
      <c r="D5" s="54">
        <f>(B5*C5)</f>
        <v/>
      </c>
      <c r="E5" s="54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7">
        <f>(B5)</f>
        <v/>
      </c>
      <c r="S5" s="54">
        <f>(C5)</f>
        <v/>
      </c>
      <c r="T5" s="54">
        <f>(R5*S5)</f>
        <v/>
      </c>
    </row>
    <row r="6">
      <c r="B6" s="57">
        <f>(-0.00801)</f>
        <v/>
      </c>
      <c r="C6" s="54">
        <f>(D6/B6)</f>
        <v/>
      </c>
      <c r="D6" s="54" t="n">
        <v>-0.300785</v>
      </c>
      <c r="E6" s="54" t="n"/>
      <c r="M6" t="inlineStr">
        <is>
          <t>Objectif</t>
        </is>
      </c>
      <c r="N6" s="57">
        <f>($B$16/5)</f>
        <v/>
      </c>
      <c r="O6" s="54">
        <f>(C23)</f>
        <v/>
      </c>
      <c r="P6" s="54">
        <f>(O6*N6)</f>
        <v/>
      </c>
      <c r="Q6" t="inlineStr">
        <is>
          <t>Done</t>
        </is>
      </c>
      <c r="R6" s="57">
        <f>(B6+B7+B8+B9)</f>
        <v/>
      </c>
      <c r="S6" s="54" t="n">
        <v>0</v>
      </c>
      <c r="T6" s="54">
        <f>(D6+D7+D8+D9)</f>
        <v/>
      </c>
    </row>
    <row r="7">
      <c r="B7" s="57" t="n">
        <v>-0.007325</v>
      </c>
      <c r="C7" s="54">
        <f>(D7/B7)</f>
        <v/>
      </c>
      <c r="D7" s="54" t="n">
        <v>-0.3</v>
      </c>
      <c r="E7" s="54" t="n"/>
      <c r="N7" s="57">
        <f>-B36</f>
        <v/>
      </c>
      <c r="O7" s="54">
        <f>P7/N7</f>
        <v/>
      </c>
      <c r="P7" s="54">
        <f>-D36</f>
        <v/>
      </c>
      <c r="Q7" t="inlineStr">
        <is>
          <t>Done</t>
        </is>
      </c>
      <c r="R7" s="57">
        <f>(B10+B11)</f>
        <v/>
      </c>
      <c r="S7" s="54" t="n">
        <v>0</v>
      </c>
      <c r="T7" s="54">
        <f>(D10+D11)</f>
        <v/>
      </c>
    </row>
    <row r="8">
      <c r="B8" s="57">
        <f>(0.00803628-0.0000683)</f>
        <v/>
      </c>
      <c r="C8" s="54">
        <f>(D8/B8)</f>
        <v/>
      </c>
      <c r="D8" s="54" t="n">
        <v>0.29</v>
      </c>
      <c r="E8" s="54" t="n"/>
      <c r="N8" s="57">
        <f>(($B$16+$R$20+$R$9)/5)</f>
        <v/>
      </c>
      <c r="O8" s="54">
        <f>C38</f>
        <v/>
      </c>
      <c r="P8" s="54">
        <f>-D38</f>
        <v/>
      </c>
      <c r="Q8" t="inlineStr">
        <is>
          <t>Done</t>
        </is>
      </c>
      <c r="R8" s="57">
        <f>(B12)</f>
        <v/>
      </c>
      <c r="S8" s="54" t="n">
        <v>0</v>
      </c>
      <c r="T8" s="54">
        <f>(R8*S8)</f>
        <v/>
      </c>
    </row>
    <row r="9">
      <c r="B9" s="57">
        <f>(0.00884882-0.00007521)</f>
        <v/>
      </c>
      <c r="C9" s="54">
        <f>(D9/B9)</f>
        <v/>
      </c>
      <c r="D9" s="54" t="n">
        <v>0.28</v>
      </c>
      <c r="E9" s="54" t="n"/>
      <c r="N9" s="57">
        <f>(($B$16+$R$20+$R$9)/5)</f>
        <v/>
      </c>
      <c r="O9" s="54">
        <f>($C$16*Params!K11)</f>
        <v/>
      </c>
      <c r="P9" s="54">
        <f>(O9*N9)</f>
        <v/>
      </c>
      <c r="Q9" t="inlineStr">
        <is>
          <t>Done</t>
        </is>
      </c>
      <c r="R9" s="57">
        <f>(B13)</f>
        <v/>
      </c>
      <c r="S9" s="54">
        <f>(T9/R9)</f>
        <v/>
      </c>
      <c r="T9" s="54" t="n">
        <v>0</v>
      </c>
      <c r="U9">
        <f>E13</f>
        <v/>
      </c>
    </row>
    <row r="10">
      <c r="B10" s="57" t="n">
        <v>0.10169404</v>
      </c>
      <c r="C10" s="54">
        <f>(D10/B10)</f>
        <v/>
      </c>
      <c r="D10" s="54" t="n">
        <v>3.56</v>
      </c>
      <c r="E10" s="54" t="n"/>
      <c r="O10" s="54" t="n"/>
      <c r="P10" s="54" t="n"/>
      <c r="R10" s="57">
        <f>(B14)</f>
        <v/>
      </c>
      <c r="S10" s="54">
        <f>(C14)</f>
        <v/>
      </c>
      <c r="T10" s="54">
        <f>(D14)</f>
        <v/>
      </c>
    </row>
    <row r="11">
      <c r="B11" s="57" t="n">
        <v>-0.1</v>
      </c>
      <c r="C11" s="54">
        <f>(D11/B11)</f>
        <v/>
      </c>
      <c r="D11" s="54" t="n">
        <v>-3.7812</v>
      </c>
      <c r="E11" s="54" t="n"/>
      <c r="O11" s="54" t="n"/>
      <c r="P11" s="54">
        <f>(SUM(P6:P9))</f>
        <v/>
      </c>
      <c r="R11" s="57">
        <f>(B15)</f>
        <v/>
      </c>
      <c r="S11" s="54">
        <f>(C15)</f>
        <v/>
      </c>
      <c r="T11" s="54">
        <f>(D15)</f>
        <v/>
      </c>
    </row>
    <row r="12">
      <c r="B12" s="57" t="n">
        <v>0.0021</v>
      </c>
      <c r="C12" s="54" t="n">
        <v>0</v>
      </c>
      <c r="D12" s="54" t="n">
        <v>0</v>
      </c>
      <c r="E12" s="54">
        <f>(B12*$J$3)</f>
        <v/>
      </c>
      <c r="O12" s="54" t="n"/>
      <c r="P12" s="54" t="n"/>
      <c r="R12" s="57">
        <f>(B16+B23)</f>
        <v/>
      </c>
      <c r="S12" s="54">
        <f>(T12/R12)</f>
        <v/>
      </c>
      <c r="T12" s="54">
        <f>(D16+D23)</f>
        <v/>
      </c>
    </row>
    <row r="13">
      <c r="B13" s="57">
        <f>(0.002039*7)</f>
        <v/>
      </c>
      <c r="C13" s="54" t="n">
        <v>0</v>
      </c>
      <c r="D13" s="54">
        <f>(C13*B13)</f>
        <v/>
      </c>
      <c r="E13" t="inlineStr">
        <is>
          <t>NFT Burn</t>
        </is>
      </c>
      <c r="F13" s="55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57">
        <f>(B17+B21+B37-N16)</f>
        <v/>
      </c>
      <c r="S13" s="54">
        <f>(T13/R13)</f>
        <v/>
      </c>
      <c r="T13" s="54">
        <f>(D17+11.97*B21+B37*19.42078-N16*19.42078)</f>
        <v/>
      </c>
      <c r="U13" t="inlineStr">
        <is>
          <t>DCA1</t>
        </is>
      </c>
    </row>
    <row r="14">
      <c r="B14" s="57">
        <f>(0.60148-0.595318987)</f>
        <v/>
      </c>
      <c r="C14" s="54" t="n">
        <v>0</v>
      </c>
      <c r="D14" s="54" t="n">
        <v>0</v>
      </c>
      <c r="E14" s="54">
        <f>(B14*$J$3)</f>
        <v/>
      </c>
      <c r="M14" t="inlineStr">
        <is>
          <t>Objectif</t>
        </is>
      </c>
      <c r="N14" s="57">
        <f>(-B21)</f>
        <v/>
      </c>
      <c r="O14" s="54">
        <f>(C21)</f>
        <v/>
      </c>
      <c r="P14" s="54">
        <f>(O14*N14)</f>
        <v/>
      </c>
      <c r="Q14" t="inlineStr">
        <is>
          <t>Done</t>
        </is>
      </c>
      <c r="R14" s="58">
        <f>(B18)</f>
        <v/>
      </c>
      <c r="S14" s="59">
        <f>(C18)</f>
        <v/>
      </c>
      <c r="T14" s="60">
        <f>(D18)</f>
        <v/>
      </c>
    </row>
    <row r="15">
      <c r="B15" s="57">
        <f>(0.10209-0.101562222)</f>
        <v/>
      </c>
      <c r="C15" s="54" t="n">
        <v>0</v>
      </c>
      <c r="D15" s="54" t="n">
        <v>0</v>
      </c>
      <c r="E15" s="54">
        <f>(B15*$J$3)</f>
        <v/>
      </c>
      <c r="N15" s="57">
        <f>-B37</f>
        <v/>
      </c>
      <c r="O15" s="54">
        <f>C37</f>
        <v/>
      </c>
      <c r="P15" s="54">
        <f>(O15*N15)</f>
        <v/>
      </c>
      <c r="Q15" t="inlineStr">
        <is>
          <t>Done</t>
        </is>
      </c>
      <c r="R15" s="57">
        <f>B19+B22+B39-N25</f>
        <v/>
      </c>
      <c r="S15" s="54">
        <f>(T15/R15)</f>
        <v/>
      </c>
      <c r="T15" s="54">
        <f>(D19+12.6*B22+20.2393*B39-20.2393*N25)</f>
        <v/>
      </c>
      <c r="U15" t="inlineStr">
        <is>
          <t>DCA2</t>
        </is>
      </c>
    </row>
    <row r="16">
      <c r="B16" s="57" t="n">
        <v>0.49053</v>
      </c>
      <c r="C16" s="54">
        <f>(D16/B16)</f>
        <v/>
      </c>
      <c r="D16" s="54" t="n">
        <v>6.3</v>
      </c>
      <c r="E16" s="54" t="n"/>
      <c r="N16" s="57">
        <f>-B40-N25</f>
        <v/>
      </c>
      <c r="O16" s="54">
        <f>C40</f>
        <v/>
      </c>
      <c r="P16" s="54">
        <f>(O16*N16)</f>
        <v/>
      </c>
      <c r="Q16" t="inlineStr">
        <is>
          <t>Done</t>
        </is>
      </c>
      <c r="R16" s="57">
        <f>(B20)</f>
        <v/>
      </c>
      <c r="S16" s="54">
        <f>(T16/R16)</f>
        <v/>
      </c>
      <c r="T16" s="54">
        <f>(D20)</f>
        <v/>
      </c>
    </row>
    <row r="17">
      <c r="B17" s="57" t="n">
        <v>6.04098135</v>
      </c>
      <c r="C17" s="54">
        <f>(D17/B17)</f>
        <v/>
      </c>
      <c r="D17" s="54" t="n">
        <v>122.34</v>
      </c>
      <c r="E17" t="inlineStr">
        <is>
          <t>DCA1</t>
        </is>
      </c>
      <c r="N17" s="57">
        <f>(($R$13+N14+$R$21)/5)</f>
        <v/>
      </c>
      <c r="O17" s="54">
        <f>($S$13*Params!K11)</f>
        <v/>
      </c>
      <c r="P17" s="54">
        <f>(O17*N17)</f>
        <v/>
      </c>
      <c r="R17" s="57">
        <f>(B21-B21)</f>
        <v/>
      </c>
      <c r="S17" s="54" t="n">
        <v>0</v>
      </c>
      <c r="T17" s="54">
        <f>(14.952/1.25*-B21+D21)</f>
        <v/>
      </c>
      <c r="U17" t="inlineStr">
        <is>
          <t>DCA1 1/5</t>
        </is>
      </c>
    </row>
    <row r="18">
      <c r="B18" s="58" t="n">
        <v>0.06237729</v>
      </c>
      <c r="C18" s="59" t="n">
        <v>0</v>
      </c>
      <c r="D18" s="60" t="n">
        <v>0</v>
      </c>
      <c r="E18" s="55">
        <f>B18*J3</f>
        <v/>
      </c>
      <c r="O18" s="54" t="n"/>
      <c r="P18" s="54" t="n"/>
      <c r="R18" s="57">
        <f>(B22-B22)</f>
        <v/>
      </c>
      <c r="S18" s="54" t="n">
        <v>0</v>
      </c>
      <c r="T18" s="54">
        <f>(12.6*-B22+D22)</f>
        <v/>
      </c>
      <c r="U18" t="inlineStr">
        <is>
          <t>DCA2 1/5</t>
        </is>
      </c>
    </row>
    <row r="19">
      <c r="B19" s="57" t="n">
        <v>1.86661103</v>
      </c>
      <c r="C19" s="54">
        <f>(D19/B19)</f>
        <v/>
      </c>
      <c r="D19" s="54" t="n">
        <v>39.5</v>
      </c>
      <c r="E19" t="inlineStr">
        <is>
          <t>DCA2</t>
        </is>
      </c>
      <c r="O19" s="54" t="n"/>
      <c r="P19" s="54">
        <f>(SUM(P14:P17))</f>
        <v/>
      </c>
      <c r="R19" s="57">
        <f>(B26+B27)</f>
        <v/>
      </c>
      <c r="S19" s="54" t="n">
        <v>0</v>
      </c>
      <c r="T19" s="54">
        <f>(D26+D27)</f>
        <v/>
      </c>
      <c r="U19" t="inlineStr">
        <is>
          <t>DCA2*</t>
        </is>
      </c>
      <c r="V19" s="55">
        <f>-T19+R19*$J$3</f>
        <v/>
      </c>
    </row>
    <row r="20">
      <c r="B20" s="57" t="n">
        <v>0.0414744</v>
      </c>
      <c r="C20" s="54">
        <f>(D20/B20)</f>
        <v/>
      </c>
      <c r="D20" s="54" t="n">
        <v>0.5</v>
      </c>
      <c r="E20" s="54" t="n"/>
      <c r="N20" s="57" t="n"/>
      <c r="O20" s="54" t="n"/>
      <c r="P20" s="54" t="n"/>
      <c r="R20" s="57">
        <f>(B28+B25+B33+B34+B29+B35)</f>
        <v/>
      </c>
      <c r="S20" s="54" t="n">
        <v>0</v>
      </c>
      <c r="T20" s="54">
        <f>(D28+D25+D33+D34+D29+D35)</f>
        <v/>
      </c>
      <c r="U20" t="inlineStr">
        <is>
          <t>Ph*</t>
        </is>
      </c>
      <c r="V20" s="55">
        <f>-T20+R20*$J$3</f>
        <v/>
      </c>
    </row>
    <row r="21">
      <c r="B21" s="57" t="n">
        <v>-0.2809</v>
      </c>
      <c r="C21" s="54">
        <f>(D21/B21)</f>
        <v/>
      </c>
      <c r="D21" s="54" t="n">
        <v>-4.2022</v>
      </c>
      <c r="E21" s="54" t="n"/>
      <c r="O21" s="54" t="n"/>
      <c r="P21" s="54" t="n"/>
      <c r="R21" s="57">
        <f>B31+B24+B30+B32</f>
        <v/>
      </c>
      <c r="S21" s="54" t="n">
        <v>0</v>
      </c>
      <c r="T21" s="54">
        <f>D31+D24+D30+D32</f>
        <v/>
      </c>
      <c r="U21" t="inlineStr">
        <is>
          <t>DCA1*</t>
        </is>
      </c>
      <c r="V21" s="55">
        <f>-T21+R21*$J$3</f>
        <v/>
      </c>
    </row>
    <row r="22">
      <c r="B22" s="57" t="n">
        <v>-0.07144</v>
      </c>
      <c r="C22" s="54">
        <f>(D22/B22)</f>
        <v/>
      </c>
      <c r="D22" s="54" t="n">
        <v>-1.16310352</v>
      </c>
      <c r="E22" s="54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57">
        <f>B36</f>
        <v/>
      </c>
      <c r="S22" s="55">
        <f>T22/R22</f>
        <v/>
      </c>
      <c r="T22" s="55">
        <f>D36</f>
        <v/>
      </c>
      <c r="U22" t="inlineStr">
        <is>
          <t>Ph 2/5</t>
        </is>
      </c>
    </row>
    <row r="23">
      <c r="B23" s="57" t="n">
        <v>-0.09811</v>
      </c>
      <c r="C23" s="54">
        <f>(D23/B23)</f>
        <v/>
      </c>
      <c r="D23" s="54" t="n">
        <v>-1.59267</v>
      </c>
      <c r="E23" s="54" t="n"/>
      <c r="M23" t="inlineStr">
        <is>
          <t>Objectif</t>
        </is>
      </c>
      <c r="N23" s="57">
        <f>(-B22)</f>
        <v/>
      </c>
      <c r="O23" s="54">
        <f>(C22)</f>
        <v/>
      </c>
      <c r="P23" s="54">
        <f>(O23*N23)</f>
        <v/>
      </c>
      <c r="Q23" t="inlineStr">
        <is>
          <t>Done</t>
        </is>
      </c>
      <c r="R23" s="57">
        <f>B37-B37</f>
        <v/>
      </c>
      <c r="S23" s="55" t="n">
        <v>0</v>
      </c>
      <c r="T23" s="54">
        <f>D37-B37*19.42078</f>
        <v/>
      </c>
      <c r="U23" t="inlineStr">
        <is>
          <t>DCA1 2/5</t>
        </is>
      </c>
    </row>
    <row r="24">
      <c r="B24" s="57" t="n">
        <v>-0.31</v>
      </c>
      <c r="C24" s="54">
        <f>(D24/B24)</f>
        <v/>
      </c>
      <c r="D24" s="54" t="n">
        <v>-5.704</v>
      </c>
      <c r="E24" s="54" t="n"/>
      <c r="N24" s="57">
        <f>-B39</f>
        <v/>
      </c>
      <c r="O24" s="54">
        <f>($S$15*Params!K9)</f>
        <v/>
      </c>
      <c r="P24" s="54">
        <f>(O24*N24)</f>
        <v/>
      </c>
      <c r="Q24" t="inlineStr">
        <is>
          <t>Done</t>
        </is>
      </c>
      <c r="R24" s="57">
        <f>B38</f>
        <v/>
      </c>
      <c r="S24" s="54">
        <f>T24/R24</f>
        <v/>
      </c>
      <c r="T24" s="54">
        <f>D38</f>
        <v/>
      </c>
      <c r="U24" t="inlineStr">
        <is>
          <t>Ph 3/5</t>
        </is>
      </c>
    </row>
    <row r="25">
      <c r="B25" s="57" t="n">
        <v>-0.098095</v>
      </c>
      <c r="C25" s="54">
        <f>(D25/B25)</f>
        <v/>
      </c>
      <c r="D25" s="54" t="n">
        <v>-2.16</v>
      </c>
      <c r="E25" s="54" t="n"/>
      <c r="N25" s="57">
        <f>0.382</f>
        <v/>
      </c>
      <c r="O25" s="54">
        <f>C40</f>
        <v/>
      </c>
      <c r="P25" s="54">
        <f>(O25*N25)</f>
        <v/>
      </c>
      <c r="Q25" t="inlineStr">
        <is>
          <t>Done</t>
        </is>
      </c>
      <c r="R25" s="57">
        <f>B39-B39</f>
        <v/>
      </c>
      <c r="S25" s="54" t="n">
        <v>0</v>
      </c>
      <c r="T25" s="54">
        <f>D39-B39*20.2393</f>
        <v/>
      </c>
      <c r="U25" t="inlineStr">
        <is>
          <t>DCA2 2/5</t>
        </is>
      </c>
    </row>
    <row r="26">
      <c r="B26" s="57">
        <f>(-0.05715)</f>
        <v/>
      </c>
      <c r="C26" s="54">
        <f>(D26/B26)</f>
        <v/>
      </c>
      <c r="D26" s="54" t="n">
        <v>-1.25988073</v>
      </c>
      <c r="E26" s="54" t="n"/>
      <c r="N26" s="57">
        <f>($R$15+$N$23+$R$19)/5</f>
        <v/>
      </c>
      <c r="O26" s="54">
        <f>($S$15*Params!K11)</f>
        <v/>
      </c>
      <c r="P26" s="54">
        <f>(O26*N26)</f>
        <v/>
      </c>
      <c r="R26" s="57">
        <f>N16-N16</f>
        <v/>
      </c>
      <c r="S26" s="54" t="n">
        <v>0</v>
      </c>
      <c r="T26" s="54">
        <f>-57.77+(N16)*19.42078</f>
        <v/>
      </c>
      <c r="U26" t="inlineStr">
        <is>
          <t>DCA1 3/5</t>
        </is>
      </c>
    </row>
    <row r="27">
      <c r="B27" s="57" t="n">
        <v>0.06353443</v>
      </c>
      <c r="C27" s="54">
        <f>(D27/B27)</f>
        <v/>
      </c>
      <c r="D27" s="54" t="n">
        <v>1.19</v>
      </c>
      <c r="E27" s="54" t="n"/>
      <c r="O27" s="54" t="n"/>
      <c r="P27" s="54" t="n"/>
      <c r="R27" s="57">
        <f>N25-N25</f>
        <v/>
      </c>
      <c r="S27" s="55" t="n">
        <v>0</v>
      </c>
      <c r="T27" s="55">
        <f>-P25+N25*20.2393</f>
        <v/>
      </c>
      <c r="U27" t="inlineStr">
        <is>
          <t>DCA2 3/5</t>
        </is>
      </c>
    </row>
    <row r="28">
      <c r="B28" s="57">
        <f>(0.02767109+0.08304053-0.00094104)</f>
        <v/>
      </c>
      <c r="C28" s="54">
        <f>(D28/B28)</f>
        <v/>
      </c>
      <c r="D28" s="54" t="n">
        <v>2.04</v>
      </c>
      <c r="E28" s="54" t="n"/>
      <c r="O28" s="54" t="n"/>
      <c r="P28" s="54">
        <f>(SUM(P23:P26))</f>
        <v/>
      </c>
      <c r="R28" s="57">
        <f>B41</f>
        <v/>
      </c>
      <c r="S28" s="54">
        <f>C41</f>
        <v/>
      </c>
      <c r="T28" s="54">
        <f>D41</f>
        <v/>
      </c>
      <c r="U28" t="inlineStr">
        <is>
          <t>Ph 4/5</t>
        </is>
      </c>
    </row>
    <row r="29">
      <c r="B29" s="57" t="n">
        <v>-0.102</v>
      </c>
      <c r="C29" s="54">
        <f>(D29/B29)</f>
        <v/>
      </c>
      <c r="D29" s="54">
        <f>(-2.275+0.019338)</f>
        <v/>
      </c>
      <c r="E29" s="54" t="n"/>
      <c r="S29" s="54" t="n"/>
      <c r="T29" s="54" t="n"/>
    </row>
    <row r="30">
      <c r="B30" s="57" t="n">
        <v>0.11322</v>
      </c>
      <c r="C30" s="54">
        <f>(D30/B30)</f>
        <v/>
      </c>
      <c r="D30" s="54" t="n">
        <v>2.13</v>
      </c>
      <c r="E30" s="54" t="n"/>
      <c r="N30" s="57" t="n"/>
      <c r="P30" s="57" t="n"/>
      <c r="S30" s="54" t="n"/>
      <c r="T30" s="54" t="n"/>
    </row>
    <row r="31">
      <c r="B31" s="57" t="n">
        <v>0.34735262</v>
      </c>
      <c r="C31" s="54">
        <f>(D31/B31)</f>
        <v/>
      </c>
      <c r="D31" s="54" t="n">
        <v>5.38</v>
      </c>
      <c r="E31" s="54" t="n"/>
      <c r="S31" s="54" t="n"/>
      <c r="T31" s="54" t="n"/>
    </row>
    <row r="32">
      <c r="B32" s="57" t="n">
        <v>-0.1055</v>
      </c>
      <c r="C32" s="54">
        <f>(D32/B32)</f>
        <v/>
      </c>
      <c r="D32" s="54" t="n">
        <v>-2.26115192</v>
      </c>
      <c r="E32" s="54" t="n"/>
      <c r="S32" s="54" t="n"/>
      <c r="T32" s="54" t="n"/>
    </row>
    <row r="33">
      <c r="B33" s="57" t="n">
        <v>-0.1</v>
      </c>
      <c r="C33" s="54">
        <f>D33/B33</f>
        <v/>
      </c>
      <c r="D33" s="54">
        <f>-2.8715+0.024408</f>
        <v/>
      </c>
      <c r="E33" s="54" t="n"/>
      <c r="S33" s="54" t="n"/>
      <c r="T33" s="54" t="n"/>
    </row>
    <row r="34">
      <c r="B34" s="57">
        <f>0.11560694-0.00098265-0.0000162</f>
        <v/>
      </c>
      <c r="C34" s="54">
        <f>D34/B34</f>
        <v/>
      </c>
      <c r="D34" s="54" t="n">
        <v>2.68</v>
      </c>
      <c r="E34" s="54" t="n"/>
      <c r="S34" s="54" t="n"/>
      <c r="T34" s="54" t="n"/>
    </row>
    <row r="35">
      <c r="B35" s="57" t="n">
        <v>0.11518</v>
      </c>
      <c r="C35" s="54">
        <f>D35/B35</f>
        <v/>
      </c>
      <c r="D35" s="54" t="n">
        <v>2.13</v>
      </c>
      <c r="E35" s="54" t="n"/>
      <c r="F35" s="57" t="n"/>
      <c r="H35" s="55" t="n"/>
      <c r="J35" s="55" t="n"/>
      <c r="S35" s="54" t="n"/>
      <c r="T35" s="54" t="n"/>
    </row>
    <row r="36">
      <c r="B36" s="57" t="n">
        <v>-0.10885</v>
      </c>
      <c r="C36" s="54">
        <f>D36/B36</f>
        <v/>
      </c>
      <c r="D36" s="54" t="n">
        <v>-2.606</v>
      </c>
      <c r="E36" s="54" t="n"/>
      <c r="S36" s="54" t="n"/>
      <c r="T36" s="54" t="n"/>
    </row>
    <row r="37">
      <c r="B37" s="57" t="n">
        <v>-2.08</v>
      </c>
      <c r="C37" s="54">
        <f>D37/B37</f>
        <v/>
      </c>
      <c r="D37" s="54" t="n">
        <v>-65.30216475</v>
      </c>
      <c r="E37" s="54" t="n"/>
      <c r="S37" s="54" t="n"/>
      <c r="T37" s="54" t="n"/>
    </row>
    <row r="38">
      <c r="B38" s="57" t="n">
        <v>-0.1</v>
      </c>
      <c r="C38" s="54">
        <f>D38/B38</f>
        <v/>
      </c>
      <c r="D38" s="54">
        <f>-3.1462+0.026743</f>
        <v/>
      </c>
      <c r="E38" s="54" t="n"/>
      <c r="N38" s="57" t="n"/>
      <c r="P38" s="55" t="n"/>
      <c r="S38" s="54" t="n"/>
      <c r="T38" s="54" t="n"/>
    </row>
    <row r="39">
      <c r="B39" s="57" t="n">
        <v>-0.65</v>
      </c>
      <c r="C39" s="54">
        <f>D39/B39</f>
        <v/>
      </c>
      <c r="D39" s="54">
        <f>-21.40712492</f>
        <v/>
      </c>
      <c r="E39" s="54" t="n"/>
      <c r="N39" s="57">
        <f>N16+N25</f>
        <v/>
      </c>
      <c r="S39" s="54" t="n"/>
      <c r="T39" s="54" t="n"/>
    </row>
    <row r="40">
      <c r="B40" s="57" t="n">
        <v>-1.6148</v>
      </c>
      <c r="C40" s="54">
        <f>D40/B40</f>
        <v/>
      </c>
      <c r="D40" s="54" t="n">
        <v>-75.67129853</v>
      </c>
      <c r="E40" s="54" t="n"/>
      <c r="S40" s="54" t="n"/>
      <c r="T40" s="54" t="n"/>
    </row>
    <row r="41">
      <c r="B41" s="57" t="n">
        <v>-0.1088</v>
      </c>
      <c r="C41" s="54">
        <f>D41/B41</f>
        <v/>
      </c>
      <c r="D41" s="54">
        <f>-6.4064+0.054455</f>
        <v/>
      </c>
      <c r="E41" s="54" t="n"/>
      <c r="S41" s="54" t="n"/>
      <c r="T41" s="54" t="n"/>
    </row>
    <row r="42">
      <c r="C42" s="54" t="n"/>
      <c r="D42" s="54" t="n"/>
      <c r="E42" s="54" t="n"/>
      <c r="S42" s="54" t="n"/>
      <c r="T42" s="54" t="n"/>
    </row>
    <row r="43">
      <c r="B43" s="57">
        <f>(SUM(B5:B42))</f>
        <v/>
      </c>
      <c r="C43" s="54" t="n"/>
      <c r="D43" s="54">
        <f>(SUM(D5:D42))</f>
        <v/>
      </c>
      <c r="E43" s="54" t="n"/>
      <c r="F43" t="inlineStr">
        <is>
          <t>Moy</t>
        </is>
      </c>
      <c r="G43" s="54">
        <f>(D43/B43)</f>
        <v/>
      </c>
      <c r="R43" s="57">
        <f>(SUM(R5:R36))</f>
        <v/>
      </c>
      <c r="S43" s="54" t="n"/>
      <c r="T43" s="54">
        <f>(SUM(T5:T36))</f>
        <v/>
      </c>
      <c r="V43" t="inlineStr">
        <is>
          <t>Moy</t>
        </is>
      </c>
      <c r="W43" s="54">
        <f>(T43/R43)</f>
        <v/>
      </c>
    </row>
    <row r="44">
      <c r="M44" s="57" t="n"/>
      <c r="S44" s="54" t="n"/>
      <c r="T44" s="54" t="n"/>
    </row>
    <row r="45"/>
    <row r="46"/>
    <row r="47">
      <c r="N47" s="57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43 W43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 C34:C35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O17 O26 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N25" sqref="N2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6" t="n">
        <v>0.1014338520733072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</row>
    <row r="5">
      <c r="B5" s="19" t="n">
        <v>9.10125837</v>
      </c>
      <c r="C5" s="76">
        <f>(D5/B5)</f>
        <v/>
      </c>
      <c r="D5" s="54" t="n">
        <v>0.5</v>
      </c>
      <c r="E5" s="54" t="n"/>
      <c r="G5" s="54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0.24530439</v>
      </c>
      <c r="C6" s="59" t="n">
        <v>0</v>
      </c>
      <c r="D6" s="60">
        <f>(B6*C6)</f>
        <v/>
      </c>
      <c r="E6" s="54">
        <f>(B6*J3)</f>
        <v/>
      </c>
      <c r="G6" s="54" t="n"/>
      <c r="M6" t="inlineStr">
        <is>
          <t>Objectif</t>
        </is>
      </c>
      <c r="N6" s="19">
        <f>($B$13/5)</f>
        <v/>
      </c>
      <c r="O6" s="76">
        <f>($C$5*Params!K8)</f>
        <v/>
      </c>
      <c r="P6" s="54">
        <f>(O6*N6)</f>
        <v/>
      </c>
      <c r="Q6" s="54">
        <f>N6*$J$3</f>
        <v/>
      </c>
    </row>
    <row r="7">
      <c r="C7" s="54" t="n"/>
      <c r="D7" s="54" t="n"/>
      <c r="E7" s="54" t="n"/>
      <c r="G7" s="54" t="n"/>
      <c r="N7" s="19">
        <f>($B$13/5)</f>
        <v/>
      </c>
      <c r="O7" s="76">
        <f>($C$5*Params!K9)</f>
        <v/>
      </c>
      <c r="P7" s="54">
        <f>(O7*N7)</f>
        <v/>
      </c>
      <c r="Q7" s="54">
        <f>Q6*2</f>
        <v/>
      </c>
    </row>
    <row r="8">
      <c r="C8" s="54" t="n"/>
      <c r="D8" s="54" t="n"/>
      <c r="E8" s="54" t="n"/>
      <c r="G8" s="54" t="n"/>
      <c r="N8" s="19">
        <f>($B$13/5)</f>
        <v/>
      </c>
      <c r="O8" s="76">
        <f>($C$5*Params!K10)</f>
        <v/>
      </c>
      <c r="P8" s="54">
        <f>(O8*N8)</f>
        <v/>
      </c>
      <c r="Q8" s="54">
        <f>Q6*3</f>
        <v/>
      </c>
    </row>
    <row r="9">
      <c r="C9" s="54" t="n"/>
      <c r="D9" s="54" t="n"/>
      <c r="E9" s="54" t="n"/>
      <c r="G9" s="54" t="n"/>
      <c r="N9" s="19">
        <f>($B$13/5)</f>
        <v/>
      </c>
      <c r="O9" s="76">
        <f>($C$5*Params!K11)</f>
        <v/>
      </c>
      <c r="P9" s="54">
        <f>(O9*N9)</f>
        <v/>
      </c>
      <c r="Q9" s="54">
        <f>Q6*4</f>
        <v/>
      </c>
    </row>
    <row r="10">
      <c r="C10" s="54" t="n"/>
      <c r="D10" s="54" t="n"/>
      <c r="E10" s="54" t="n"/>
      <c r="G10" s="54" t="n"/>
      <c r="O10" s="54" t="n"/>
      <c r="P10" s="54" t="n"/>
    </row>
    <row r="11">
      <c r="C11" s="54" t="n"/>
      <c r="D11" s="54" t="n"/>
      <c r="E11" s="54" t="n"/>
      <c r="G11" s="54" t="n"/>
      <c r="O11" s="54" t="n"/>
      <c r="P11" s="54">
        <f>(SUM(P6:P9))</f>
        <v/>
      </c>
    </row>
    <row r="12">
      <c r="C12" s="54" t="n"/>
      <c r="D12" s="54" t="n"/>
      <c r="E12" s="54" t="n"/>
      <c r="F12" t="inlineStr">
        <is>
          <t>Moy</t>
        </is>
      </c>
      <c r="G12" s="54">
        <f>(D13/B13)</f>
        <v/>
      </c>
    </row>
    <row r="13">
      <c r="B13">
        <f>(SUM(B5:B12))</f>
        <v/>
      </c>
      <c r="C13" s="54" t="n"/>
      <c r="D13" s="54">
        <f>(SUM(D5:D12))</f>
        <v/>
      </c>
      <c r="E13" s="54" t="n"/>
      <c r="G13" s="54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C3" s="54" t="n"/>
      <c r="D3" s="54" t="n"/>
      <c r="E3" s="54" t="n"/>
      <c r="G3" s="54" t="n"/>
      <c r="H3" s="54" t="n"/>
      <c r="I3" t="inlineStr">
        <is>
          <t>Actual Price :</t>
        </is>
      </c>
      <c r="J3" s="54" t="n">
        <v>6.002930260552</v>
      </c>
      <c r="O3" s="54" t="n"/>
      <c r="P3" s="54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4" t="n"/>
      <c r="G4" s="54" t="n"/>
      <c r="H4" s="54" t="n"/>
      <c r="I4" t="inlineStr">
        <is>
          <t>Total :</t>
        </is>
      </c>
      <c r="J4" s="54">
        <f>(B10*J3)</f>
        <v/>
      </c>
      <c r="K4" s="4">
        <f>(J4/D10-1)</f>
        <v/>
      </c>
      <c r="O4" s="54" t="n"/>
      <c r="P4" s="54" t="n"/>
    </row>
    <row r="5">
      <c r="B5" s="1" t="n">
        <v>2.04837237</v>
      </c>
      <c r="C5" s="54">
        <f>(D5/B5)</f>
        <v/>
      </c>
      <c r="D5" s="54" t="n">
        <v>11.25</v>
      </c>
      <c r="E5" t="inlineStr">
        <is>
          <t>DCA4</t>
        </is>
      </c>
      <c r="G5" s="54" t="n"/>
      <c r="H5" s="54" t="n"/>
      <c r="J5" s="54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0.00257829</v>
      </c>
      <c r="C6" s="59" t="n">
        <v>0</v>
      </c>
      <c r="D6" s="59">
        <f>(B6*C6)</f>
        <v/>
      </c>
      <c r="E6" s="54">
        <f>(B6*J3)</f>
        <v/>
      </c>
      <c r="G6" s="54" t="n"/>
      <c r="H6" s="54" t="n"/>
      <c r="J6" s="54" t="n"/>
      <c r="M6" t="inlineStr">
        <is>
          <t>Objectif</t>
        </is>
      </c>
      <c r="N6" s="1">
        <f>($B$5/5)</f>
        <v/>
      </c>
      <c r="O6" s="76">
        <f>($C$5*Params!K8)</f>
        <v/>
      </c>
      <c r="P6" s="54">
        <f>(O6*N6)</f>
        <v/>
      </c>
    </row>
    <row r="7">
      <c r="C7" s="54" t="n"/>
      <c r="D7" s="54" t="n"/>
      <c r="E7" s="54" t="n"/>
      <c r="G7" s="54" t="n"/>
      <c r="H7" s="54" t="n"/>
      <c r="J7" s="54" t="n"/>
      <c r="N7" s="1">
        <f>($B$5/5)</f>
        <v/>
      </c>
      <c r="O7" s="76">
        <f>($C$5*Params!K9)</f>
        <v/>
      </c>
      <c r="P7" s="54">
        <f>(O7*N7)</f>
        <v/>
      </c>
    </row>
    <row r="8">
      <c r="C8" s="54" t="n"/>
      <c r="D8" s="54" t="n"/>
      <c r="E8" s="54" t="n"/>
      <c r="G8" s="54" t="n"/>
      <c r="H8" s="54" t="n"/>
      <c r="J8" s="54" t="n"/>
      <c r="N8" s="1">
        <f>($B$5/5)</f>
        <v/>
      </c>
      <c r="O8" s="76">
        <f>($C$5*Params!K10)</f>
        <v/>
      </c>
      <c r="P8" s="54">
        <f>(O8*N8)</f>
        <v/>
      </c>
    </row>
    <row r="9">
      <c r="C9" s="54" t="n"/>
      <c r="D9" s="54" t="n"/>
      <c r="E9" s="54" t="n"/>
      <c r="F9" t="inlineStr">
        <is>
          <t>Moy</t>
        </is>
      </c>
      <c r="G9" s="54">
        <f>(D10/B10)</f>
        <v/>
      </c>
      <c r="H9" s="54" t="n"/>
      <c r="J9" s="54" t="n"/>
      <c r="N9" s="1">
        <f>($B$5/5)</f>
        <v/>
      </c>
      <c r="O9" s="76">
        <f>($C$5*Params!K11)</f>
        <v/>
      </c>
      <c r="P9" s="54">
        <f>(O9*N9)</f>
        <v/>
      </c>
    </row>
    <row r="10">
      <c r="B10" s="1">
        <f>(SUM(B5:B9))</f>
        <v/>
      </c>
      <c r="C10" s="54" t="n"/>
      <c r="D10" s="54">
        <f>(SUM(D5:D9))</f>
        <v/>
      </c>
      <c r="E10" s="54" t="n"/>
      <c r="G10" s="54" t="n"/>
      <c r="H10" s="54" t="n"/>
      <c r="J10" s="54" t="n"/>
      <c r="O10" s="54" t="n"/>
      <c r="P10" s="54" t="n"/>
    </row>
    <row r="11">
      <c r="O11" s="54" t="n"/>
      <c r="P11" s="54">
        <f>(SUM(P6:P9))</f>
        <v/>
      </c>
    </row>
    <row r="12">
      <c r="O12" s="54" t="n"/>
      <c r="P12" s="54" t="n"/>
    </row>
    <row r="13">
      <c r="O13" s="54" t="n"/>
      <c r="P13" s="54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R11" sqref="R1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0.6111226401208596</v>
      </c>
      <c r="M3" t="inlineStr">
        <is>
          <t>Objectif :</t>
        </is>
      </c>
      <c r="N3" s="19">
        <f>(INDEX(N5:N14,MATCH(MAX(O6:O7),O5:O14,0))/0.9)</f>
        <v/>
      </c>
      <c r="O3" s="84">
        <f>(MAX(O6:O7)*0.85)</f>
        <v/>
      </c>
      <c r="P3" s="54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4">
        <f>(D5/B5)</f>
        <v/>
      </c>
      <c r="D5" s="54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4">
        <f>(T5/R5)</f>
        <v/>
      </c>
      <c r="T5" s="54">
        <f>(SUM(D5:D7))</f>
        <v/>
      </c>
    </row>
    <row r="6">
      <c r="B6" s="20" t="n">
        <v>0.7950080899999999</v>
      </c>
      <c r="C6" s="59" t="n">
        <v>0</v>
      </c>
      <c r="D6" s="59">
        <f>(B6*C6)</f>
        <v/>
      </c>
      <c r="E6" s="54">
        <f>(B6*J3)</f>
        <v/>
      </c>
      <c r="M6" t="inlineStr">
        <is>
          <t>Objectif</t>
        </is>
      </c>
      <c r="N6">
        <f>(-B8)</f>
        <v/>
      </c>
      <c r="O6" s="54">
        <f>P6/N6</f>
        <v/>
      </c>
      <c r="P6" s="54">
        <f>(-D8)</f>
        <v/>
      </c>
      <c r="Q6" t="inlineStr">
        <is>
          <t>Done</t>
        </is>
      </c>
      <c r="R6">
        <f>(B8)</f>
        <v/>
      </c>
      <c r="S6" s="54">
        <f>(C8)</f>
        <v/>
      </c>
      <c r="T6" s="54">
        <f>(D8)</f>
        <v/>
      </c>
    </row>
    <row r="7">
      <c r="B7" s="19" t="n">
        <v>1.46219147</v>
      </c>
      <c r="C7" s="54">
        <f>(D7/B7)</f>
        <v/>
      </c>
      <c r="D7" s="54" t="n">
        <v>0.5</v>
      </c>
      <c r="N7" s="19">
        <f>(B$14/3)</f>
        <v/>
      </c>
      <c r="O7" s="54">
        <f>($C$5*Params!K9)</f>
        <v/>
      </c>
      <c r="P7" s="54">
        <f>(O7*N7)</f>
        <v/>
      </c>
      <c r="Q7" t="inlineStr">
        <is>
          <t>Done</t>
        </is>
      </c>
      <c r="R7" s="19">
        <f>B9+B10+B11</f>
        <v/>
      </c>
      <c r="S7" s="54" t="n">
        <v>0</v>
      </c>
      <c r="T7" s="55">
        <f>D9+D10+D11</f>
        <v/>
      </c>
      <c r="U7" s="55" t="n"/>
    </row>
    <row r="8">
      <c r="B8" t="n">
        <v>-10.76</v>
      </c>
      <c r="C8" s="54">
        <f>(D8/B8)</f>
        <v/>
      </c>
      <c r="D8" s="54" t="n">
        <v>-5.05269736</v>
      </c>
      <c r="N8" s="19">
        <f>(B$14/3)</f>
        <v/>
      </c>
      <c r="O8" s="54">
        <f>($C$5*Params!K10)</f>
        <v/>
      </c>
      <c r="P8" s="54">
        <f>(O8*N8)</f>
        <v/>
      </c>
      <c r="R8" s="19">
        <f>B12</f>
        <v/>
      </c>
      <c r="S8" s="55">
        <f>C12</f>
        <v/>
      </c>
      <c r="T8" s="55">
        <f>D12</f>
        <v/>
      </c>
    </row>
    <row r="9">
      <c r="B9" t="n">
        <v>-21.72</v>
      </c>
      <c r="C9" s="55">
        <f>D9/B9</f>
        <v/>
      </c>
      <c r="D9" s="54" t="n">
        <v>-16.82352177</v>
      </c>
      <c r="N9" s="19">
        <f>(B$14/3)</f>
        <v/>
      </c>
      <c r="O9" s="54">
        <f>($C$5*Params!K11)</f>
        <v/>
      </c>
      <c r="P9" s="54">
        <f>(O9*N9)</f>
        <v/>
      </c>
    </row>
    <row r="10">
      <c r="B10" s="19" t="n">
        <v>12.15260941</v>
      </c>
      <c r="C10" s="54">
        <f>D10/B10</f>
        <v/>
      </c>
      <c r="D10" s="54" t="n">
        <v>8.029999999999999</v>
      </c>
    </row>
    <row r="11">
      <c r="B11" s="19" t="n">
        <v>12.36011619</v>
      </c>
      <c r="C11" s="54">
        <f>D11/B11</f>
        <v/>
      </c>
      <c r="D11" s="54" t="n">
        <v>5.87</v>
      </c>
      <c r="P11" s="54">
        <f>(SUM(P6:P9))</f>
        <v/>
      </c>
    </row>
    <row r="12">
      <c r="B12" s="19" t="n">
        <v>-15.44</v>
      </c>
      <c r="C12" s="55">
        <f>D12/B12</f>
        <v/>
      </c>
      <c r="D12" s="54" t="n">
        <v>-8.78559841</v>
      </c>
    </row>
    <row r="13">
      <c r="F13" t="inlineStr">
        <is>
          <t>Moy</t>
        </is>
      </c>
      <c r="G13" s="54">
        <f>(D14/B14)</f>
        <v/>
      </c>
    </row>
    <row r="14">
      <c r="B14" s="19">
        <f>(SUM(B5:B13))</f>
        <v/>
      </c>
      <c r="D14" s="54">
        <f>(SUM(D5:D13))</f>
        <v/>
      </c>
    </row>
    <row r="15"/>
    <row r="16"/>
    <row r="17"/>
    <row r="18">
      <c r="R18">
        <f>(SUM(R5:R17))</f>
        <v/>
      </c>
      <c r="T18" s="54">
        <f>(SUM(T5:T17))</f>
        <v/>
      </c>
    </row>
    <row r="19"/>
    <row r="20"/>
    <row r="21"/>
    <row r="22">
      <c r="L22" s="55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0.1627371096825311</v>
      </c>
      <c r="M3" t="inlineStr">
        <is>
          <t>Objectif :</t>
        </is>
      </c>
      <c r="N3" s="66">
        <f>(INDEX(N5:N29,MATCH(MAX(O6:O8),O5:O29,0))/0.9)</f>
        <v/>
      </c>
      <c r="O3" s="84">
        <f>(MAX(O6:O8)*0.85)</f>
        <v/>
      </c>
      <c r="P3" s="54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6">
        <f>(D5/B5)</f>
        <v/>
      </c>
      <c r="D5" s="54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4">
        <f>(C5)</f>
        <v/>
      </c>
      <c r="T5" s="54">
        <f>(R5*S5)</f>
        <v/>
      </c>
    </row>
    <row r="6">
      <c r="B6" s="19" t="n">
        <v>-12.25728155</v>
      </c>
      <c r="C6" s="76">
        <f>(D6/B6)</f>
        <v/>
      </c>
      <c r="D6" s="54" t="n">
        <v>-0.983378</v>
      </c>
      <c r="M6" t="inlineStr">
        <is>
          <t>Objectif</t>
        </is>
      </c>
      <c r="N6" s="66">
        <f>(-B6)</f>
        <v/>
      </c>
      <c r="O6" s="54">
        <f>(C6)</f>
        <v/>
      </c>
      <c r="P6" s="54">
        <f>(O6*N6)</f>
        <v/>
      </c>
      <c r="Q6" t="inlineStr">
        <is>
          <t>Done</t>
        </is>
      </c>
      <c r="R6" s="66">
        <f>B6</f>
        <v/>
      </c>
      <c r="S6" s="54">
        <f>(C6)</f>
        <v/>
      </c>
      <c r="T6" s="54">
        <f>D6</f>
        <v/>
      </c>
    </row>
    <row r="7">
      <c r="B7" s="19" t="n">
        <v>-12.70325203</v>
      </c>
      <c r="C7" s="76">
        <f>(D7/B7)</f>
        <v/>
      </c>
      <c r="D7" s="54" t="n">
        <v>-1.217268</v>
      </c>
      <c r="N7" s="66">
        <f>-B11</f>
        <v/>
      </c>
      <c r="O7" s="54">
        <f>($C$5*Params!K9)</f>
        <v/>
      </c>
      <c r="P7" s="54">
        <f>-D11</f>
        <v/>
      </c>
      <c r="Q7" t="inlineStr">
        <is>
          <t>Done</t>
        </is>
      </c>
      <c r="R7" s="66">
        <f>B7+B10+B8+B9</f>
        <v/>
      </c>
      <c r="S7" s="54">
        <f>(C7)</f>
        <v/>
      </c>
      <c r="T7" s="54">
        <f>D7+D10+D8+D9</f>
        <v/>
      </c>
    </row>
    <row r="8">
      <c r="B8" s="19" t="n">
        <v>-12.62063846</v>
      </c>
      <c r="C8" s="76">
        <f>(D8/B8)</f>
        <v/>
      </c>
      <c r="D8" s="54" t="n">
        <v>-1.656203</v>
      </c>
      <c r="N8" s="66">
        <f>3*($B$5+$R$7)/5-N7-N6</f>
        <v/>
      </c>
      <c r="O8" s="54">
        <f>($C$5*Params!K10)</f>
        <v/>
      </c>
      <c r="P8" s="54">
        <f>(O8*N8)</f>
        <v/>
      </c>
      <c r="Q8" t="inlineStr">
        <is>
          <t>Done</t>
        </is>
      </c>
      <c r="R8" s="66">
        <f>B11</f>
        <v/>
      </c>
      <c r="S8" s="54">
        <f>T8/R8</f>
        <v/>
      </c>
      <c r="T8" s="54">
        <f>D11</f>
        <v/>
      </c>
    </row>
    <row r="9">
      <c r="B9" s="19" t="n">
        <v>15.03715876</v>
      </c>
      <c r="C9" s="76">
        <f>(D9/B9)</f>
        <v/>
      </c>
      <c r="D9" s="54" t="n">
        <v>1.549163</v>
      </c>
      <c r="N9" s="66">
        <f>4*($R$5+$R$7)/5+B12-N7-N6</f>
        <v/>
      </c>
      <c r="O9" s="54">
        <f>($C$5*Params!K11)</f>
        <v/>
      </c>
      <c r="P9" s="54">
        <f>(O9*N9)</f>
        <v/>
      </c>
      <c r="R9" s="57">
        <f>B12</f>
        <v/>
      </c>
      <c r="S9" s="54">
        <f>T9/R9</f>
        <v/>
      </c>
      <c r="T9" s="54">
        <f>D12</f>
        <v/>
      </c>
    </row>
    <row r="10">
      <c r="B10" s="19" t="n">
        <v>14.46759533</v>
      </c>
      <c r="C10" s="76">
        <f>(D10/B10)</f>
        <v/>
      </c>
      <c r="D10" s="54" t="n">
        <v>1.150414</v>
      </c>
      <c r="N10" s="66" t="n"/>
      <c r="O10" s="54" t="n"/>
      <c r="P10" s="54" t="n"/>
      <c r="R10" s="57" t="n"/>
      <c r="S10" s="54" t="n"/>
      <c r="T10" s="54" t="n"/>
    </row>
    <row r="11">
      <c r="B11" s="19" t="n">
        <v>-12.55901794</v>
      </c>
      <c r="C11" s="76">
        <f>D11/B11</f>
        <v/>
      </c>
      <c r="D11" s="54">
        <f>-1.294159</f>
        <v/>
      </c>
      <c r="N11" s="66" t="n"/>
      <c r="O11" s="54" t="n"/>
      <c r="P11" s="54" t="n"/>
      <c r="R11" s="57" t="n"/>
      <c r="S11" s="54" t="n"/>
      <c r="T11" s="54" t="n"/>
    </row>
    <row r="12">
      <c r="B12" s="19" t="n">
        <v>-15.85623679</v>
      </c>
      <c r="C12" s="76">
        <f>D12/B12</f>
        <v/>
      </c>
      <c r="D12" s="54" t="n">
        <v>-2.201892</v>
      </c>
      <c r="N12" s="66" t="n"/>
      <c r="O12" s="54" t="n"/>
      <c r="P12" s="54" t="n"/>
      <c r="R12" s="57" t="n"/>
      <c r="S12" s="54" t="n"/>
      <c r="T12" s="54" t="n"/>
    </row>
    <row r="13">
      <c r="C13" s="54" t="n"/>
      <c r="D13" s="54" t="n"/>
      <c r="F13" t="inlineStr">
        <is>
          <t>Moy</t>
        </is>
      </c>
      <c r="G13" s="54">
        <f>(D14/B14)</f>
        <v/>
      </c>
      <c r="O13" s="54" t="n"/>
      <c r="P13" s="54">
        <f>(SUM(P6:P9))</f>
        <v/>
      </c>
      <c r="R13" s="57" t="n"/>
      <c r="S13" s="54" t="n"/>
      <c r="T13" s="54" t="n"/>
    </row>
    <row r="14">
      <c r="B14" s="19">
        <f>(SUM(B5:B13))</f>
        <v/>
      </c>
      <c r="C14" s="54" t="n"/>
      <c r="D14" s="54">
        <f>(SUM(D5:D13))</f>
        <v/>
      </c>
      <c r="O14" s="54" t="n"/>
      <c r="R14" s="57" t="n"/>
      <c r="S14" s="54" t="n"/>
      <c r="T14" s="54" t="n"/>
    </row>
    <row r="15">
      <c r="R15" s="57" t="n"/>
      <c r="S15" s="54" t="n"/>
      <c r="T15" s="54" t="n"/>
    </row>
    <row r="16">
      <c r="R16" s="57" t="n"/>
      <c r="S16" s="54" t="n"/>
      <c r="T16" s="54" t="n"/>
    </row>
    <row r="17">
      <c r="R17" s="57" t="n"/>
      <c r="S17" s="54" t="n"/>
      <c r="T17" s="54" t="n"/>
    </row>
    <row r="18">
      <c r="R18" s="57" t="n"/>
      <c r="S18" s="54" t="n"/>
      <c r="T18" s="54" t="n"/>
    </row>
    <row r="19">
      <c r="R19" s="57" t="n"/>
      <c r="S19" s="54" t="n"/>
      <c r="T19" s="54" t="n"/>
    </row>
    <row r="20">
      <c r="R20" s="57" t="n"/>
      <c r="S20" s="54" t="n"/>
      <c r="T20" s="54" t="n"/>
    </row>
    <row r="21">
      <c r="R21" s="57" t="n"/>
      <c r="S21" s="54" t="n"/>
      <c r="T21" s="54" t="n"/>
    </row>
    <row r="22">
      <c r="R22" s="57" t="n"/>
      <c r="S22" s="54" t="n"/>
      <c r="T22" s="54" t="n"/>
    </row>
    <row r="23">
      <c r="R23" s="57" t="n"/>
      <c r="S23" s="54" t="n"/>
      <c r="T23" s="54" t="n"/>
    </row>
    <row r="24">
      <c r="R24" s="57" t="n"/>
      <c r="S24" s="54" t="n"/>
      <c r="T24" s="54" t="n"/>
      <c r="V24" s="55" t="n"/>
    </row>
    <row r="26">
      <c r="S26" s="54" t="n"/>
      <c r="T26" s="54" t="n"/>
    </row>
    <row r="27">
      <c r="L27" s="55" t="n"/>
      <c r="M27" s="55" t="n"/>
      <c r="S27" s="54" t="n"/>
      <c r="T27" s="54" t="n"/>
    </row>
    <row r="28">
      <c r="S28" s="54" t="n"/>
      <c r="T28" s="54" t="n"/>
    </row>
    <row r="29">
      <c r="S29" s="54" t="n"/>
      <c r="T29" s="54" t="n"/>
    </row>
    <row r="30">
      <c r="S30" s="54" t="n"/>
      <c r="T30" s="54" t="n"/>
    </row>
    <row r="31">
      <c r="S31" s="54" t="n"/>
      <c r="T31" s="54" t="n"/>
    </row>
    <row r="32">
      <c r="S32" s="54" t="n"/>
      <c r="T32" s="54" t="n"/>
    </row>
    <row r="33">
      <c r="R33" s="57">
        <f>(SUM(R5:R31))</f>
        <v/>
      </c>
      <c r="S33" s="54" t="n"/>
      <c r="T33" s="54">
        <f>(SUM(T5:T31))</f>
        <v/>
      </c>
      <c r="V33" t="inlineStr">
        <is>
          <t>Moy</t>
        </is>
      </c>
      <c r="W33" s="54">
        <f>(T33/R33)</f>
        <v/>
      </c>
    </row>
    <row r="34">
      <c r="S34" s="54" t="n"/>
      <c r="T34" s="54" t="n"/>
    </row>
    <row r="35">
      <c r="S35" s="54" t="n"/>
      <c r="T35" s="54" t="n"/>
    </row>
    <row r="36">
      <c r="S36" s="54" t="n"/>
      <c r="T36" s="54" t="n"/>
    </row>
    <row r="37">
      <c r="S37" s="54" t="n"/>
      <c r="T37" s="54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4" t="n">
        <v>0.778363762157793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(B10*J3)</f>
        <v/>
      </c>
      <c r="K4" s="4">
        <f>(J4/D10-1)</f>
        <v/>
      </c>
    </row>
    <row r="5">
      <c r="B5" s="66" t="n">
        <v>2.924319</v>
      </c>
      <c r="C5" s="54">
        <f>(D5/B5)</f>
        <v/>
      </c>
      <c r="D5" s="54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57" t="n"/>
      <c r="C6" s="54" t="n"/>
      <c r="D6" s="54" t="n"/>
      <c r="M6" t="inlineStr">
        <is>
          <t>Objectif</t>
        </is>
      </c>
      <c r="N6" s="57">
        <f>($B$5/5)</f>
        <v/>
      </c>
      <c r="O6" s="54">
        <f>($C$5*Params!K8)</f>
        <v/>
      </c>
      <c r="P6" s="54">
        <f>(O6*N6)</f>
        <v/>
      </c>
    </row>
    <row r="7">
      <c r="B7" s="57" t="n"/>
      <c r="C7" s="54" t="n"/>
      <c r="D7" s="54" t="n"/>
      <c r="N7" s="57">
        <f>($B$5/5)</f>
        <v/>
      </c>
      <c r="O7" s="54">
        <f>($C$5*Params!K9)</f>
        <v/>
      </c>
      <c r="P7" s="54">
        <f>(O7*N7)</f>
        <v/>
      </c>
    </row>
    <row r="8">
      <c r="B8" s="57" t="n"/>
      <c r="C8" s="54" t="n"/>
      <c r="D8" s="54" t="n"/>
      <c r="N8" s="57">
        <f>($B$5/5)</f>
        <v/>
      </c>
      <c r="O8" s="54">
        <f>($C$5*Params!K10)</f>
        <v/>
      </c>
      <c r="P8" s="54">
        <f>(O8*N8)</f>
        <v/>
      </c>
    </row>
    <row r="9">
      <c r="B9" s="57" t="n"/>
      <c r="C9" s="54" t="n"/>
      <c r="D9" s="54" t="n"/>
      <c r="F9" t="inlineStr">
        <is>
          <t>Moy</t>
        </is>
      </c>
      <c r="G9" s="54">
        <f>(D10/B10)</f>
        <v/>
      </c>
      <c r="H9" s="54" t="n"/>
      <c r="N9" s="57">
        <f>($B$5/5)</f>
        <v/>
      </c>
      <c r="O9" s="54">
        <f>($C$5*Params!K11)</f>
        <v/>
      </c>
      <c r="P9" s="54">
        <f>(O9*N9)</f>
        <v/>
      </c>
    </row>
    <row r="10">
      <c r="B10" s="66">
        <f>(SUM(B5:B9))</f>
        <v/>
      </c>
      <c r="C10" s="54" t="n"/>
      <c r="D10" s="54">
        <f>(SUM(D5:D9))</f>
        <v/>
      </c>
      <c r="O10" s="54" t="n"/>
      <c r="P10" s="54" t="n"/>
    </row>
    <row r="11">
      <c r="C11" s="54" t="n"/>
      <c r="D11" s="54" t="n"/>
      <c r="O11" s="54" t="n"/>
      <c r="P11" s="54">
        <f>(SUM(P6:P9))</f>
        <v/>
      </c>
    </row>
    <row r="12">
      <c r="O12" s="54" t="n"/>
      <c r="P12" s="54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J3" sqref="J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9" t="n">
        <v>0.004797132282263087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(B10*J3)</f>
        <v/>
      </c>
      <c r="K4" s="4">
        <f>(J4/D10-1)</f>
        <v/>
      </c>
    </row>
    <row r="5">
      <c r="B5" t="n">
        <v>599.4</v>
      </c>
      <c r="C5" s="76">
        <f>(D5/B5)</f>
        <v/>
      </c>
      <c r="D5" s="54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4" t="n"/>
      <c r="D6" s="54" t="n"/>
      <c r="M6" t="inlineStr">
        <is>
          <t>Objectif</t>
        </is>
      </c>
      <c r="N6">
        <f>($B$5/5)</f>
        <v/>
      </c>
      <c r="O6" s="79">
        <f>($C$5*Params!K8)</f>
        <v/>
      </c>
      <c r="P6" s="54">
        <f>(O6*N6)</f>
        <v/>
      </c>
    </row>
    <row r="7">
      <c r="C7" s="54" t="n"/>
      <c r="D7" s="54" t="n"/>
      <c r="N7">
        <f>($B$5/5)</f>
        <v/>
      </c>
      <c r="O7" s="76">
        <f>($C$5*Params!K9)</f>
        <v/>
      </c>
      <c r="P7" s="54">
        <f>(O7*N7)</f>
        <v/>
      </c>
    </row>
    <row r="8">
      <c r="C8" s="54" t="n"/>
      <c r="D8" s="54" t="n"/>
      <c r="N8">
        <f>($B$5/5)</f>
        <v/>
      </c>
      <c r="O8" s="76">
        <f>($C$5*Params!K10)</f>
        <v/>
      </c>
      <c r="P8" s="54">
        <f>(O8*N8)</f>
        <v/>
      </c>
    </row>
    <row r="9">
      <c r="C9" s="54" t="n"/>
      <c r="D9" s="54" t="n"/>
      <c r="F9" t="inlineStr">
        <is>
          <t>Moy</t>
        </is>
      </c>
      <c r="G9" s="54">
        <f>(D10/B10)</f>
        <v/>
      </c>
      <c r="N9">
        <f>($B$5/5)</f>
        <v/>
      </c>
      <c r="O9" s="76">
        <f>($C$5*Params!K11)</f>
        <v/>
      </c>
      <c r="P9" s="54">
        <f>(O9*N9)</f>
        <v/>
      </c>
    </row>
    <row r="10">
      <c r="B10">
        <f>(SUM(B5:B9))</f>
        <v/>
      </c>
      <c r="C10" s="54" t="n"/>
      <c r="D10" s="54">
        <f>(SUM(D5:D9))</f>
        <v/>
      </c>
      <c r="O10" s="54" t="n"/>
      <c r="P10" s="54" t="n"/>
    </row>
    <row r="11">
      <c r="O11" s="54" t="n"/>
      <c r="P11" s="54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F8:P27"/>
  <sheetViews>
    <sheetView workbookViewId="0">
      <selection activeCell="N12" sqref="N12"/>
    </sheetView>
  </sheetViews>
  <sheetFormatPr baseColWidth="10" defaultColWidth="9.140625" defaultRowHeight="15"/>
  <sheetData>
    <row r="8">
      <c r="F8" t="n">
        <v>0.05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5</v>
      </c>
      <c r="L11" t="n">
        <v>0.2</v>
      </c>
      <c r="N11">
        <f>(L11*(K11-1))</f>
        <v/>
      </c>
    </row>
    <row r="12">
      <c r="K12" t="n">
        <v>10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2023-12-19T08:12:52Z</dcterms:modified>
  <cp:lastModifiedBy>Tiko</cp:lastModifiedBy>
</cp:coreProperties>
</file>