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30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 calcOnSave="0"/>
</workbook>
</file>

<file path=xl/calcChain.xml><?xml version="1.0" encoding="utf-8"?>
<calcChain xmlns="http://schemas.openxmlformats.org/spreadsheetml/2006/main">
  <c r="N26" i="35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D11" i="32"/>
  <c r="B11"/>
  <c r="G10"/>
  <c r="C9"/>
  <c r="T8"/>
  <c r="R8"/>
  <c r="N9" s="1"/>
  <c r="N8"/>
  <c r="C8"/>
  <c r="S8" s="1"/>
  <c r="T7"/>
  <c r="R7"/>
  <c r="N7"/>
  <c r="C7"/>
  <c r="S7" s="1"/>
  <c r="T6"/>
  <c r="R6"/>
  <c r="N6"/>
  <c r="C6"/>
  <c r="O6" s="1"/>
  <c r="R5"/>
  <c r="R35" s="1"/>
  <c r="C5"/>
  <c r="O8" s="1"/>
  <c r="P8" s="1"/>
  <c r="K4"/>
  <c r="J4"/>
  <c r="B13" i="31"/>
  <c r="N9"/>
  <c r="C9"/>
  <c r="N8"/>
  <c r="C8"/>
  <c r="C7"/>
  <c r="T6"/>
  <c r="S6"/>
  <c r="R6"/>
  <c r="P6"/>
  <c r="O6" s="1"/>
  <c r="N6"/>
  <c r="N7" s="1"/>
  <c r="E6"/>
  <c r="D6"/>
  <c r="D13" s="1"/>
  <c r="G12" s="1"/>
  <c r="R5"/>
  <c r="R17" s="1"/>
  <c r="C5"/>
  <c r="O9" s="1"/>
  <c r="P9" s="1"/>
  <c r="J4"/>
  <c r="K4" s="1"/>
  <c r="B10" i="30"/>
  <c r="N9"/>
  <c r="N8"/>
  <c r="N7"/>
  <c r="N6"/>
  <c r="E6"/>
  <c r="D6"/>
  <c r="D10" s="1"/>
  <c r="G9" s="1"/>
  <c r="C5"/>
  <c r="O7" s="1"/>
  <c r="P7" s="1"/>
  <c r="J4"/>
  <c r="K4" s="1"/>
  <c r="B13" i="29"/>
  <c r="N9" s="1"/>
  <c r="N8"/>
  <c r="Q6"/>
  <c r="N6"/>
  <c r="E6"/>
  <c r="D6"/>
  <c r="D13" s="1"/>
  <c r="G12" s="1"/>
  <c r="C5"/>
  <c r="O8" s="1"/>
  <c r="P8" s="1"/>
  <c r="J4"/>
  <c r="K4" s="1"/>
  <c r="B34" i="28"/>
  <c r="C34" s="1"/>
  <c r="D33"/>
  <c r="C33"/>
  <c r="C32"/>
  <c r="C31"/>
  <c r="C30"/>
  <c r="D29"/>
  <c r="C29" s="1"/>
  <c r="B28"/>
  <c r="C28" s="1"/>
  <c r="C27"/>
  <c r="B26"/>
  <c r="C26" s="1"/>
  <c r="C25"/>
  <c r="C24"/>
  <c r="N23"/>
  <c r="C23"/>
  <c r="T22"/>
  <c r="S22"/>
  <c r="R22"/>
  <c r="C22"/>
  <c r="O23" s="1"/>
  <c r="P23" s="1"/>
  <c r="T21"/>
  <c r="R21"/>
  <c r="C21"/>
  <c r="T20"/>
  <c r="R20"/>
  <c r="C20"/>
  <c r="T19"/>
  <c r="R19"/>
  <c r="C19"/>
  <c r="T18"/>
  <c r="R18"/>
  <c r="E18"/>
  <c r="T17"/>
  <c r="R17"/>
  <c r="C17"/>
  <c r="T16"/>
  <c r="S16" s="1"/>
  <c r="R16"/>
  <c r="C16"/>
  <c r="T15"/>
  <c r="S15"/>
  <c r="O26" s="1"/>
  <c r="R15"/>
  <c r="N25" s="1"/>
  <c r="B15"/>
  <c r="E15" s="1"/>
  <c r="T14"/>
  <c r="S14"/>
  <c r="R14"/>
  <c r="O14"/>
  <c r="N14"/>
  <c r="P14" s="1"/>
  <c r="B14"/>
  <c r="E14" s="1"/>
  <c r="T13"/>
  <c r="S13"/>
  <c r="O17" s="1"/>
  <c r="R13"/>
  <c r="N16" s="1"/>
  <c r="D13"/>
  <c r="B13"/>
  <c r="T12"/>
  <c r="S12" s="1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O8"/>
  <c r="N8"/>
  <c r="P8" s="1"/>
  <c r="B8"/>
  <c r="C8" s="1"/>
  <c r="T7"/>
  <c r="R7"/>
  <c r="P7"/>
  <c r="O7"/>
  <c r="N7"/>
  <c r="C7"/>
  <c r="T6"/>
  <c r="R6"/>
  <c r="O6"/>
  <c r="N6"/>
  <c r="C6"/>
  <c r="B6"/>
  <c r="S5"/>
  <c r="R5"/>
  <c r="R38" s="1"/>
  <c r="B5"/>
  <c r="O3"/>
  <c r="D13" i="27"/>
  <c r="B13"/>
  <c r="G12"/>
  <c r="N9"/>
  <c r="N8"/>
  <c r="N7"/>
  <c r="N6"/>
  <c r="E6"/>
  <c r="D6"/>
  <c r="C5"/>
  <c r="J4"/>
  <c r="K4" s="1"/>
  <c r="B19" i="26"/>
  <c r="O17"/>
  <c r="C17"/>
  <c r="O16"/>
  <c r="C16"/>
  <c r="O15"/>
  <c r="C15"/>
  <c r="O14"/>
  <c r="C14"/>
  <c r="C13"/>
  <c r="C12"/>
  <c r="C11"/>
  <c r="C10"/>
  <c r="R9"/>
  <c r="O9"/>
  <c r="D9"/>
  <c r="T8"/>
  <c r="R8"/>
  <c r="C8"/>
  <c r="T7"/>
  <c r="R7"/>
  <c r="R22" s="1"/>
  <c r="E7"/>
  <c r="U6"/>
  <c r="T6"/>
  <c r="S6" s="1"/>
  <c r="R6"/>
  <c r="O6"/>
  <c r="C6"/>
  <c r="T5"/>
  <c r="S5"/>
  <c r="R5"/>
  <c r="C5"/>
  <c r="O8" s="1"/>
  <c r="J4"/>
  <c r="B10" i="25"/>
  <c r="N9"/>
  <c r="N8"/>
  <c r="O7"/>
  <c r="P7" s="1"/>
  <c r="N7"/>
  <c r="E7"/>
  <c r="D7"/>
  <c r="N6"/>
  <c r="E6"/>
  <c r="D6"/>
  <c r="D10" s="1"/>
  <c r="C5"/>
  <c r="O9" s="1"/>
  <c r="P9" s="1"/>
  <c r="J4"/>
  <c r="O17" i="24"/>
  <c r="O16"/>
  <c r="B15"/>
  <c r="O14"/>
  <c r="C14"/>
  <c r="C13"/>
  <c r="C12"/>
  <c r="C11"/>
  <c r="R10"/>
  <c r="N15" s="1"/>
  <c r="C10"/>
  <c r="C9"/>
  <c r="T8"/>
  <c r="R8"/>
  <c r="O8"/>
  <c r="C8"/>
  <c r="S8" s="1"/>
  <c r="T7"/>
  <c r="S7"/>
  <c r="O7" s="1"/>
  <c r="R7"/>
  <c r="C7"/>
  <c r="O9" s="1"/>
  <c r="U6"/>
  <c r="R6"/>
  <c r="O6"/>
  <c r="E6"/>
  <c r="D6"/>
  <c r="T5"/>
  <c r="R5"/>
  <c r="C5"/>
  <c r="O15" s="1"/>
  <c r="P15" s="1"/>
  <c r="C35" i="23"/>
  <c r="N9" s="1"/>
  <c r="B35"/>
  <c r="E35" s="1"/>
  <c r="C34"/>
  <c r="C33"/>
  <c r="C32"/>
  <c r="B32"/>
  <c r="C31"/>
  <c r="C30"/>
  <c r="C29"/>
  <c r="C28"/>
  <c r="C27"/>
  <c r="B26"/>
  <c r="D26" s="1"/>
  <c r="T25"/>
  <c r="R25"/>
  <c r="B25"/>
  <c r="D25" s="1"/>
  <c r="T24"/>
  <c r="R24"/>
  <c r="C24"/>
  <c r="T23"/>
  <c r="R23"/>
  <c r="C23"/>
  <c r="T22"/>
  <c r="R22"/>
  <c r="C22"/>
  <c r="T21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R14"/>
  <c r="T14" s="1"/>
  <c r="C14"/>
  <c r="T13"/>
  <c r="S13" s="1"/>
  <c r="R13"/>
  <c r="C13"/>
  <c r="S12"/>
  <c r="R12"/>
  <c r="C12"/>
  <c r="R11"/>
  <c r="S11" s="1"/>
  <c r="C11"/>
  <c r="S10"/>
  <c r="R10"/>
  <c r="C10"/>
  <c r="R9"/>
  <c r="S9" s="1"/>
  <c r="O9"/>
  <c r="P9" s="1"/>
  <c r="C9"/>
  <c r="B9"/>
  <c r="S8"/>
  <c r="R8"/>
  <c r="C8"/>
  <c r="R7"/>
  <c r="T7" s="1"/>
  <c r="D7"/>
  <c r="T6"/>
  <c r="R6"/>
  <c r="N6"/>
  <c r="O6" s="1"/>
  <c r="P6" s="1"/>
  <c r="D6"/>
  <c r="T5"/>
  <c r="T37" s="1"/>
  <c r="R5"/>
  <c r="D5"/>
  <c r="D37" s="1"/>
  <c r="D14" i="22"/>
  <c r="D13"/>
  <c r="D12"/>
  <c r="D11"/>
  <c r="D10"/>
  <c r="D9"/>
  <c r="D8"/>
  <c r="B7"/>
  <c r="E6"/>
  <c r="D6"/>
  <c r="D16" s="1"/>
  <c r="D5"/>
  <c r="B14" i="21"/>
  <c r="C12"/>
  <c r="C11"/>
  <c r="C10"/>
  <c r="T9"/>
  <c r="R9"/>
  <c r="R20" s="1"/>
  <c r="C9"/>
  <c r="T8"/>
  <c r="R8"/>
  <c r="U8" s="1"/>
  <c r="N8"/>
  <c r="C8"/>
  <c r="T7"/>
  <c r="S7" s="1"/>
  <c r="R7"/>
  <c r="O7"/>
  <c r="C7"/>
  <c r="O8" s="1"/>
  <c r="R6"/>
  <c r="P6"/>
  <c r="N6"/>
  <c r="E6"/>
  <c r="D6"/>
  <c r="T5"/>
  <c r="S5"/>
  <c r="R5"/>
  <c r="N9" s="1"/>
  <c r="C5"/>
  <c r="J4"/>
  <c r="B10" i="20"/>
  <c r="N7"/>
  <c r="E6"/>
  <c r="D6"/>
  <c r="D10" s="1"/>
  <c r="G9" s="1"/>
  <c r="C5"/>
  <c r="O9" s="1"/>
  <c r="J4"/>
  <c r="K4" s="1"/>
  <c r="D10" i="19"/>
  <c r="B10"/>
  <c r="N9"/>
  <c r="N8"/>
  <c r="O7"/>
  <c r="P7" s="1"/>
  <c r="N7"/>
  <c r="N6"/>
  <c r="E6"/>
  <c r="D6"/>
  <c r="C5"/>
  <c r="O9" s="1"/>
  <c r="P9" s="1"/>
  <c r="J4"/>
  <c r="B10" i="18"/>
  <c r="J4" s="1"/>
  <c r="K4" s="1"/>
  <c r="O6"/>
  <c r="E6"/>
  <c r="D6"/>
  <c r="D10" s="1"/>
  <c r="G9" s="1"/>
  <c r="C5"/>
  <c r="O7" s="1"/>
  <c r="B13" i="17"/>
  <c r="O9"/>
  <c r="O8"/>
  <c r="N8"/>
  <c r="P8" s="1"/>
  <c r="O7"/>
  <c r="O6"/>
  <c r="N6"/>
  <c r="P6" s="1"/>
  <c r="E6"/>
  <c r="D6"/>
  <c r="D13" s="1"/>
  <c r="G12" s="1"/>
  <c r="J4"/>
  <c r="C10" i="16"/>
  <c r="B9"/>
  <c r="D9" s="1"/>
  <c r="D8" s="1"/>
  <c r="T8" s="1"/>
  <c r="C8"/>
  <c r="B8"/>
  <c r="T7"/>
  <c r="S7" s="1"/>
  <c r="R7"/>
  <c r="O7"/>
  <c r="C7"/>
  <c r="T6"/>
  <c r="S6"/>
  <c r="O6" s="1"/>
  <c r="R6"/>
  <c r="E6"/>
  <c r="D6"/>
  <c r="R5"/>
  <c r="U5" s="1"/>
  <c r="C5"/>
  <c r="B13" i="15"/>
  <c r="O9"/>
  <c r="P8"/>
  <c r="N8"/>
  <c r="O7"/>
  <c r="N6"/>
  <c r="E6"/>
  <c r="D6"/>
  <c r="D13" s="1"/>
  <c r="G12" s="1"/>
  <c r="C5"/>
  <c r="O8" s="1"/>
  <c r="N24" i="14"/>
  <c r="N22"/>
  <c r="N17"/>
  <c r="B17"/>
  <c r="N16"/>
  <c r="C15"/>
  <c r="D14"/>
  <c r="C13"/>
  <c r="C12"/>
  <c r="C11"/>
  <c r="R10"/>
  <c r="E10"/>
  <c r="S9"/>
  <c r="R9"/>
  <c r="N15" s="1"/>
  <c r="D9"/>
  <c r="S8"/>
  <c r="O9" s="1"/>
  <c r="R8"/>
  <c r="O8"/>
  <c r="E8"/>
  <c r="S7"/>
  <c r="R7"/>
  <c r="O7"/>
  <c r="N7"/>
  <c r="P7" s="1"/>
  <c r="E7"/>
  <c r="S6"/>
  <c r="R6"/>
  <c r="T6" s="1"/>
  <c r="O6"/>
  <c r="D6"/>
  <c r="R5"/>
  <c r="D5"/>
  <c r="J4"/>
  <c r="D13" i="13"/>
  <c r="B13"/>
  <c r="G12"/>
  <c r="C11"/>
  <c r="C10"/>
  <c r="C9"/>
  <c r="C8"/>
  <c r="C7"/>
  <c r="T6"/>
  <c r="R6"/>
  <c r="C6"/>
  <c r="O6" s="1"/>
  <c r="T5"/>
  <c r="T15" s="1"/>
  <c r="S5"/>
  <c r="R5"/>
  <c r="C5"/>
  <c r="J4"/>
  <c r="K4" s="1"/>
  <c r="P17" i="12"/>
  <c r="N17"/>
  <c r="O16"/>
  <c r="P16" s="1"/>
  <c r="N16"/>
  <c r="N15"/>
  <c r="O14"/>
  <c r="P14" s="1"/>
  <c r="N14"/>
  <c r="B13"/>
  <c r="C11"/>
  <c r="C10"/>
  <c r="O17" s="1"/>
  <c r="C9"/>
  <c r="U8"/>
  <c r="T8"/>
  <c r="S8"/>
  <c r="R8"/>
  <c r="C8"/>
  <c r="T7"/>
  <c r="R7"/>
  <c r="N7" s="1"/>
  <c r="C7"/>
  <c r="T6"/>
  <c r="S6"/>
  <c r="R6"/>
  <c r="E6"/>
  <c r="D6"/>
  <c r="D13" s="1"/>
  <c r="G12" s="1"/>
  <c r="T5"/>
  <c r="T13" s="1"/>
  <c r="R5"/>
  <c r="C5"/>
  <c r="O7" s="1"/>
  <c r="P7" s="1"/>
  <c r="J4"/>
  <c r="B14" i="11"/>
  <c r="J4" s="1"/>
  <c r="K4" s="1"/>
  <c r="O9"/>
  <c r="P9" s="1"/>
  <c r="N9"/>
  <c r="N8"/>
  <c r="O7"/>
  <c r="P7" s="1"/>
  <c r="N7"/>
  <c r="E7"/>
  <c r="D7"/>
  <c r="N6"/>
  <c r="E6"/>
  <c r="D6"/>
  <c r="D14" s="1"/>
  <c r="C5"/>
  <c r="O8" s="1"/>
  <c r="P8" s="1"/>
  <c r="B14" i="10"/>
  <c r="D12"/>
  <c r="C12"/>
  <c r="C11"/>
  <c r="C10"/>
  <c r="C9"/>
  <c r="C8"/>
  <c r="T7"/>
  <c r="R7"/>
  <c r="N8" s="1"/>
  <c r="C7"/>
  <c r="T6"/>
  <c r="S6"/>
  <c r="R6"/>
  <c r="E6"/>
  <c r="D6"/>
  <c r="D14" s="1"/>
  <c r="G13" s="1"/>
  <c r="T5"/>
  <c r="T14" s="1"/>
  <c r="R5"/>
  <c r="C5"/>
  <c r="O7" s="1"/>
  <c r="J4"/>
  <c r="B14" i="9"/>
  <c r="C10"/>
  <c r="N9"/>
  <c r="C9"/>
  <c r="N8"/>
  <c r="C8"/>
  <c r="T7"/>
  <c r="R7"/>
  <c r="N7"/>
  <c r="C7"/>
  <c r="R6"/>
  <c r="R17" s="1"/>
  <c r="O6"/>
  <c r="E6"/>
  <c r="U6" s="1"/>
  <c r="D6"/>
  <c r="D14" s="1"/>
  <c r="G13" s="1"/>
  <c r="T5"/>
  <c r="R5"/>
  <c r="C5"/>
  <c r="O9" s="1"/>
  <c r="P9" s="1"/>
  <c r="B13" i="8"/>
  <c r="N9"/>
  <c r="C9"/>
  <c r="T8"/>
  <c r="R8"/>
  <c r="N8"/>
  <c r="C8"/>
  <c r="T7"/>
  <c r="S7" s="1"/>
  <c r="O6" s="1"/>
  <c r="P6" s="1"/>
  <c r="R7"/>
  <c r="O7"/>
  <c r="P7" s="1"/>
  <c r="N7"/>
  <c r="C7"/>
  <c r="R6"/>
  <c r="U6" s="1"/>
  <c r="N6"/>
  <c r="E6"/>
  <c r="D6"/>
  <c r="D13" s="1"/>
  <c r="G12" s="1"/>
  <c r="T5"/>
  <c r="S5"/>
  <c r="R5"/>
  <c r="R13" s="1"/>
  <c r="C5"/>
  <c r="J4"/>
  <c r="E6" i="7"/>
  <c r="C6"/>
  <c r="E5"/>
  <c r="E9" s="1"/>
  <c r="C5"/>
  <c r="C4" i="6"/>
  <c r="C74" i="5"/>
  <c r="E72"/>
  <c r="E71"/>
  <c r="E70"/>
  <c r="E69"/>
  <c r="E68"/>
  <c r="E67"/>
  <c r="E66"/>
  <c r="E65"/>
  <c r="E64"/>
  <c r="E63"/>
  <c r="D62"/>
  <c r="E61"/>
  <c r="E60"/>
  <c r="E59"/>
  <c r="E52"/>
  <c r="D52"/>
  <c r="G52" s="1"/>
  <c r="C52"/>
  <c r="E51"/>
  <c r="D51"/>
  <c r="G51" s="1"/>
  <c r="H35" s="1"/>
  <c r="H40" s="1"/>
  <c r="I40" s="1"/>
  <c r="K40" s="1"/>
  <c r="C51"/>
  <c r="F50"/>
  <c r="E50"/>
  <c r="D50"/>
  <c r="C50"/>
  <c r="G50" s="1"/>
  <c r="H34" s="1"/>
  <c r="M45"/>
  <c r="M44"/>
  <c r="M43"/>
  <c r="M42"/>
  <c r="E41"/>
  <c r="F41" s="1"/>
  <c r="D41"/>
  <c r="M40"/>
  <c r="F40"/>
  <c r="E40"/>
  <c r="E39"/>
  <c r="F39" s="1"/>
  <c r="D39"/>
  <c r="E38"/>
  <c r="F38" s="1"/>
  <c r="D38"/>
  <c r="M37"/>
  <c r="L37"/>
  <c r="L38" s="1"/>
  <c r="L39" s="1"/>
  <c r="L41" s="1"/>
  <c r="M41" s="1"/>
  <c r="E37"/>
  <c r="F37" s="1"/>
  <c r="D37"/>
  <c r="M36"/>
  <c r="D36"/>
  <c r="E36" s="1"/>
  <c r="F36" s="1"/>
  <c r="M35"/>
  <c r="E35"/>
  <c r="F35" s="1"/>
  <c r="D35"/>
  <c r="M34"/>
  <c r="F34"/>
  <c r="I34" s="1"/>
  <c r="K34" s="1"/>
  <c r="D34"/>
  <c r="E34" s="1"/>
  <c r="E30"/>
  <c r="E29"/>
  <c r="E28"/>
  <c r="E27"/>
  <c r="E26"/>
  <c r="E25"/>
  <c r="E24"/>
  <c r="E23"/>
  <c r="E22"/>
  <c r="E21"/>
  <c r="E20"/>
  <c r="E19"/>
  <c r="E18"/>
  <c r="E17"/>
  <c r="E16"/>
  <c r="D16"/>
  <c r="E15"/>
  <c r="E14"/>
  <c r="D14"/>
  <c r="E13"/>
  <c r="D12"/>
  <c r="E12" s="1"/>
  <c r="E11"/>
  <c r="E10"/>
  <c r="D10"/>
  <c r="E9"/>
  <c r="J14" s="1"/>
  <c r="E8"/>
  <c r="E7"/>
  <c r="E6"/>
  <c r="E5"/>
  <c r="J12" s="1"/>
  <c r="O32" i="4"/>
  <c r="N32"/>
  <c r="P32" s="1"/>
  <c r="O31"/>
  <c r="P31" s="1"/>
  <c r="N31"/>
  <c r="O30"/>
  <c r="N30"/>
  <c r="P30" s="1"/>
  <c r="O29"/>
  <c r="P29" s="1"/>
  <c r="N29"/>
  <c r="O23"/>
  <c r="P23" s="1"/>
  <c r="N23"/>
  <c r="O22"/>
  <c r="N22"/>
  <c r="P22" s="1"/>
  <c r="O21"/>
  <c r="P21" s="1"/>
  <c r="N21"/>
  <c r="O20"/>
  <c r="N20"/>
  <c r="P20" s="1"/>
  <c r="P26" s="1"/>
  <c r="O14"/>
  <c r="N14"/>
  <c r="P14" s="1"/>
  <c r="O13"/>
  <c r="P13" s="1"/>
  <c r="N13"/>
  <c r="O12"/>
  <c r="N12"/>
  <c r="P12" s="1"/>
  <c r="O11"/>
  <c r="P11" s="1"/>
  <c r="N11"/>
  <c r="D9"/>
  <c r="B9"/>
  <c r="G8"/>
  <c r="D7"/>
  <c r="P6"/>
  <c r="N6"/>
  <c r="O6" s="1"/>
  <c r="D6"/>
  <c r="D5"/>
  <c r="J4"/>
  <c r="K4" s="1"/>
  <c r="D232" i="3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Y2"/>
  <c r="M68" i="2"/>
  <c r="M67"/>
  <c r="M66"/>
  <c r="N65"/>
  <c r="O65" s="1"/>
  <c r="M65"/>
  <c r="M60"/>
  <c r="M59"/>
  <c r="N57"/>
  <c r="O57" s="1"/>
  <c r="M52"/>
  <c r="M51"/>
  <c r="M49"/>
  <c r="M44"/>
  <c r="M43"/>
  <c r="M42"/>
  <c r="N41"/>
  <c r="O41" s="1"/>
  <c r="M41"/>
  <c r="M36"/>
  <c r="M35"/>
  <c r="C35"/>
  <c r="B35"/>
  <c r="M34"/>
  <c r="C34"/>
  <c r="N33"/>
  <c r="M33"/>
  <c r="O33" s="1"/>
  <c r="D33"/>
  <c r="C33"/>
  <c r="B33"/>
  <c r="C32"/>
  <c r="N49" s="1"/>
  <c r="O49" s="1"/>
  <c r="B31"/>
  <c r="M57" s="1"/>
  <c r="D30"/>
  <c r="B30"/>
  <c r="B37" s="1"/>
  <c r="D29"/>
  <c r="M28"/>
  <c r="D28"/>
  <c r="M27"/>
  <c r="D27"/>
  <c r="M26"/>
  <c r="D26"/>
  <c r="C26" s="1"/>
  <c r="N9" s="1"/>
  <c r="N25"/>
  <c r="M25"/>
  <c r="O25" s="1"/>
  <c r="C25"/>
  <c r="N68" s="1"/>
  <c r="O68" s="1"/>
  <c r="T24"/>
  <c r="S24" s="1"/>
  <c r="R24"/>
  <c r="M76" s="1"/>
  <c r="C24"/>
  <c r="T23"/>
  <c r="R23"/>
  <c r="C23"/>
  <c r="R22"/>
  <c r="C22"/>
  <c r="N43" s="1"/>
  <c r="O43" s="1"/>
  <c r="T21"/>
  <c r="S21"/>
  <c r="R21"/>
  <c r="C21"/>
  <c r="T20"/>
  <c r="S20"/>
  <c r="N59" s="1"/>
  <c r="O59" s="1"/>
  <c r="R20"/>
  <c r="M58" s="1"/>
  <c r="M20"/>
  <c r="C20"/>
  <c r="N36" s="1"/>
  <c r="O36" s="1"/>
  <c r="T19"/>
  <c r="S19" s="1"/>
  <c r="R19"/>
  <c r="M50" s="1"/>
  <c r="N19"/>
  <c r="O19" s="1"/>
  <c r="M19"/>
  <c r="C19"/>
  <c r="N28" s="1"/>
  <c r="O28" s="1"/>
  <c r="T18"/>
  <c r="S18"/>
  <c r="R18"/>
  <c r="N18"/>
  <c r="M18"/>
  <c r="O18" s="1"/>
  <c r="D18"/>
  <c r="C18"/>
  <c r="N17" s="1"/>
  <c r="O17" s="1"/>
  <c r="O22" s="1"/>
  <c r="T17"/>
  <c r="S17"/>
  <c r="R17"/>
  <c r="M17"/>
  <c r="C17"/>
  <c r="N20" s="1"/>
  <c r="O20" s="1"/>
  <c r="T16"/>
  <c r="S16" s="1"/>
  <c r="R16"/>
  <c r="D16"/>
  <c r="T15"/>
  <c r="S15" s="1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M9"/>
  <c r="C9"/>
  <c r="R8"/>
  <c r="S8" s="1"/>
  <c r="C8"/>
  <c r="R7"/>
  <c r="S7" s="1"/>
  <c r="C7"/>
  <c r="R6"/>
  <c r="T6" s="1"/>
  <c r="E6"/>
  <c r="D6"/>
  <c r="R5"/>
  <c r="R36" s="1"/>
  <c r="D5"/>
  <c r="C40" i="1"/>
  <c r="D38"/>
  <c r="B38"/>
  <c r="B39" s="1"/>
  <c r="C37"/>
  <c r="C36"/>
  <c r="C35"/>
  <c r="C34"/>
  <c r="D33"/>
  <c r="D32"/>
  <c r="D31"/>
  <c r="D30"/>
  <c r="D29"/>
  <c r="C28"/>
  <c r="D27"/>
  <c r="D26"/>
  <c r="D25"/>
  <c r="D24"/>
  <c r="T23"/>
  <c r="S23"/>
  <c r="O37" s="1"/>
  <c r="R23"/>
  <c r="N37" s="1"/>
  <c r="D23"/>
  <c r="C23"/>
  <c r="B23"/>
  <c r="B42" s="1"/>
  <c r="D22"/>
  <c r="T21"/>
  <c r="R21"/>
  <c r="N21"/>
  <c r="D21"/>
  <c r="T20"/>
  <c r="S20"/>
  <c r="O29" s="1"/>
  <c r="R20"/>
  <c r="N29" s="1"/>
  <c r="N20"/>
  <c r="C20"/>
  <c r="T19"/>
  <c r="S19" s="1"/>
  <c r="R19"/>
  <c r="N19" s="1"/>
  <c r="D19"/>
  <c r="C19"/>
  <c r="O18"/>
  <c r="P18" s="1"/>
  <c r="N18"/>
  <c r="D18"/>
  <c r="C18"/>
  <c r="S17"/>
  <c r="R17"/>
  <c r="D17"/>
  <c r="T16"/>
  <c r="R16"/>
  <c r="D16"/>
  <c r="T15"/>
  <c r="R15"/>
  <c r="D15"/>
  <c r="T14"/>
  <c r="R14"/>
  <c r="D14"/>
  <c r="T13"/>
  <c r="S13"/>
  <c r="R13"/>
  <c r="N13"/>
  <c r="D13"/>
  <c r="T10" s="1"/>
  <c r="S10" s="1"/>
  <c r="R12"/>
  <c r="T12" s="1"/>
  <c r="N12"/>
  <c r="E12"/>
  <c r="D12"/>
  <c r="R11"/>
  <c r="T11" s="1"/>
  <c r="D11"/>
  <c r="T8" s="1"/>
  <c r="R10"/>
  <c r="O10"/>
  <c r="D10"/>
  <c r="T9"/>
  <c r="R9"/>
  <c r="D9"/>
  <c r="R8"/>
  <c r="D8"/>
  <c r="T7"/>
  <c r="R7"/>
  <c r="D7"/>
  <c r="T6"/>
  <c r="R6"/>
  <c r="N6"/>
  <c r="D6"/>
  <c r="T5"/>
  <c r="R5"/>
  <c r="D5"/>
  <c r="O3"/>
  <c r="O21" l="1"/>
  <c r="P21" s="1"/>
  <c r="O19"/>
  <c r="P19" s="1"/>
  <c r="O20"/>
  <c r="P20" s="1"/>
  <c r="N75" i="2"/>
  <c r="N73"/>
  <c r="N76"/>
  <c r="O76" s="1"/>
  <c r="N74"/>
  <c r="O9"/>
  <c r="O14" s="1"/>
  <c r="N4"/>
  <c r="P23" i="1"/>
  <c r="P29"/>
  <c r="J12"/>
  <c r="J13" s="1"/>
  <c r="J4"/>
  <c r="D39"/>
  <c r="D42" s="1"/>
  <c r="T22"/>
  <c r="T18"/>
  <c r="T32" s="1"/>
  <c r="R18"/>
  <c r="N11" s="1"/>
  <c r="N10"/>
  <c r="P10" s="1"/>
  <c r="R22"/>
  <c r="N52" i="2"/>
  <c r="O52" s="1"/>
  <c r="N50"/>
  <c r="O50" s="1"/>
  <c r="O54" s="1"/>
  <c r="N51"/>
  <c r="O51" s="1"/>
  <c r="J4"/>
  <c r="J7"/>
  <c r="J8" s="1"/>
  <c r="H36" i="5"/>
  <c r="I36" s="1"/>
  <c r="K36" s="1"/>
  <c r="H37"/>
  <c r="R32" i="1"/>
  <c r="P37"/>
  <c r="E232" i="3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N6" i="9"/>
  <c r="J4"/>
  <c r="K4" s="1"/>
  <c r="N9" i="13"/>
  <c r="N8"/>
  <c r="N7"/>
  <c r="N6"/>
  <c r="R15"/>
  <c r="G9" i="25"/>
  <c r="K4"/>
  <c r="O6" i="1"/>
  <c r="N3" s="1"/>
  <c r="P3" s="1"/>
  <c r="N26"/>
  <c r="N27"/>
  <c r="N28"/>
  <c r="O34"/>
  <c r="O35"/>
  <c r="O36"/>
  <c r="T5" i="2"/>
  <c r="D31"/>
  <c r="T22" s="1"/>
  <c r="N34"/>
  <c r="O34" s="1"/>
  <c r="O38" s="1"/>
  <c r="N42"/>
  <c r="O42" s="1"/>
  <c r="O46" s="1"/>
  <c r="N44"/>
  <c r="O44" s="1"/>
  <c r="N58"/>
  <c r="O58" s="1"/>
  <c r="O62" s="1"/>
  <c r="N60"/>
  <c r="O60" s="1"/>
  <c r="N67"/>
  <c r="O67" s="1"/>
  <c r="M73"/>
  <c r="M75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P35" i="4"/>
  <c r="I37" i="5"/>
  <c r="K37" s="1"/>
  <c r="M39"/>
  <c r="K4" i="8"/>
  <c r="T6"/>
  <c r="T13" s="1"/>
  <c r="P6" i="9"/>
  <c r="K4" i="10"/>
  <c r="R14"/>
  <c r="N6"/>
  <c r="N9"/>
  <c r="G13" i="11"/>
  <c r="K4" i="12"/>
  <c r="R13"/>
  <c r="N6"/>
  <c r="N9"/>
  <c r="R37" i="14"/>
  <c r="B14" i="16"/>
  <c r="P8" i="21"/>
  <c r="D74" i="5"/>
  <c r="E62"/>
  <c r="O9" i="8"/>
  <c r="P9" s="1"/>
  <c r="O8"/>
  <c r="P8" s="1"/>
  <c r="P11" s="1"/>
  <c r="S5" i="9"/>
  <c r="O9" i="10"/>
  <c r="P9" s="1"/>
  <c r="O8"/>
  <c r="P8" s="1"/>
  <c r="O6"/>
  <c r="P6" s="1"/>
  <c r="O9" i="12"/>
  <c r="O8"/>
  <c r="O6"/>
  <c r="P6" s="1"/>
  <c r="O9" i="13"/>
  <c r="P9" s="1"/>
  <c r="O8"/>
  <c r="P8" s="1"/>
  <c r="O7"/>
  <c r="P7" s="1"/>
  <c r="O17" i="14"/>
  <c r="P17" s="1"/>
  <c r="O16"/>
  <c r="P16" s="1"/>
  <c r="O15"/>
  <c r="P15" s="1"/>
  <c r="O14"/>
  <c r="C14"/>
  <c r="T10"/>
  <c r="D14" i="16"/>
  <c r="T5"/>
  <c r="T13" s="1"/>
  <c r="N9" i="18"/>
  <c r="N8"/>
  <c r="N6"/>
  <c r="P6" s="1"/>
  <c r="P11" s="1"/>
  <c r="N7"/>
  <c r="P7" s="1"/>
  <c r="G9" i="19"/>
  <c r="K4"/>
  <c r="O7" i="20"/>
  <c r="P7" s="1"/>
  <c r="O6"/>
  <c r="O6" i="21"/>
  <c r="O26" i="1"/>
  <c r="P26" s="1"/>
  <c r="O27"/>
  <c r="P27" s="1"/>
  <c r="O28"/>
  <c r="P28" s="1"/>
  <c r="N34"/>
  <c r="N35"/>
  <c r="N36"/>
  <c r="N26" i="2"/>
  <c r="O26" s="1"/>
  <c r="O30" s="1"/>
  <c r="N27"/>
  <c r="O27" s="1"/>
  <c r="N35"/>
  <c r="O35" s="1"/>
  <c r="N66"/>
  <c r="O66" s="1"/>
  <c r="O70" s="1"/>
  <c r="M74"/>
  <c r="E59" i="3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P17" i="4"/>
  <c r="I35" i="5"/>
  <c r="K35" s="1"/>
  <c r="M38"/>
  <c r="K14" s="1"/>
  <c r="U7" i="10"/>
  <c r="V7" i="12"/>
  <c r="N8"/>
  <c r="P6" i="13"/>
  <c r="P12" s="1"/>
  <c r="O8" i="20"/>
  <c r="S5" i="24"/>
  <c r="N17" i="26"/>
  <c r="N16"/>
  <c r="N15"/>
  <c r="N14"/>
  <c r="O9" i="27"/>
  <c r="P9" s="1"/>
  <c r="O7"/>
  <c r="P7" s="1"/>
  <c r="B36" i="28"/>
  <c r="J4" s="1"/>
  <c r="K4" s="1"/>
  <c r="D5"/>
  <c r="D36" s="1"/>
  <c r="P6" i="32"/>
  <c r="R21" i="23"/>
  <c r="B37"/>
  <c r="J4" s="1"/>
  <c r="V8" i="26"/>
  <c r="P14"/>
  <c r="P15"/>
  <c r="P16"/>
  <c r="P17"/>
  <c r="O6" i="27"/>
  <c r="P6" s="1"/>
  <c r="O8"/>
  <c r="P8" s="1"/>
  <c r="G17" i="14"/>
  <c r="T5"/>
  <c r="N8"/>
  <c r="P8" s="1"/>
  <c r="N6"/>
  <c r="N9" i="15"/>
  <c r="N7"/>
  <c r="P7" s="1"/>
  <c r="J4"/>
  <c r="K4" s="1"/>
  <c r="O9" i="16"/>
  <c r="O8"/>
  <c r="N9" i="17"/>
  <c r="N7"/>
  <c r="N9" i="20"/>
  <c r="P9" s="1"/>
  <c r="N8"/>
  <c r="N6"/>
  <c r="D14" i="21"/>
  <c r="G13" s="1"/>
  <c r="T6"/>
  <c r="S6" s="1"/>
  <c r="B16" i="22"/>
  <c r="J4" s="1"/>
  <c r="C7"/>
  <c r="N17" i="24"/>
  <c r="N16"/>
  <c r="N14"/>
  <c r="P14" s="1"/>
  <c r="P20" s="1"/>
  <c r="B16"/>
  <c r="D15"/>
  <c r="T10" s="1"/>
  <c r="T9" i="26"/>
  <c r="V9" s="1"/>
  <c r="C9"/>
  <c r="N9"/>
  <c r="P9" s="1"/>
  <c r="N8"/>
  <c r="P8" s="1"/>
  <c r="N7"/>
  <c r="N6"/>
  <c r="P6" s="1"/>
  <c r="P6" i="28"/>
  <c r="N3"/>
  <c r="P3" s="1"/>
  <c r="T6" i="9"/>
  <c r="T17" s="1"/>
  <c r="O7"/>
  <c r="P7" s="1"/>
  <c r="O8"/>
  <c r="P8" s="1"/>
  <c r="U5" i="10"/>
  <c r="N7"/>
  <c r="P7" s="1"/>
  <c r="O6" i="11"/>
  <c r="P6" s="1"/>
  <c r="P12" s="1"/>
  <c r="U5" i="12"/>
  <c r="O15"/>
  <c r="P15" s="1"/>
  <c r="P19" s="1"/>
  <c r="P6" i="14"/>
  <c r="T7"/>
  <c r="T8"/>
  <c r="N9"/>
  <c r="P9" s="1"/>
  <c r="D17"/>
  <c r="K4" s="1"/>
  <c r="P9" i="15"/>
  <c r="R8" i="16"/>
  <c r="S8" s="1"/>
  <c r="K4" i="17"/>
  <c r="P7"/>
  <c r="P11" s="1"/>
  <c r="P9"/>
  <c r="O8" i="18"/>
  <c r="P8" s="1"/>
  <c r="O9"/>
  <c r="P9" s="1"/>
  <c r="O9" i="21"/>
  <c r="P9" s="1"/>
  <c r="S9"/>
  <c r="R37" i="23"/>
  <c r="S21"/>
  <c r="P16" i="24"/>
  <c r="P17"/>
  <c r="B18"/>
  <c r="J4" s="1"/>
  <c r="O7" i="26"/>
  <c r="P7" s="1"/>
  <c r="D19"/>
  <c r="G18" s="1"/>
  <c r="T5" i="28"/>
  <c r="T38" s="1"/>
  <c r="W38" s="1"/>
  <c r="P17"/>
  <c r="T9" i="14"/>
  <c r="N14"/>
  <c r="N23"/>
  <c r="N25"/>
  <c r="O6" i="15"/>
  <c r="P6" s="1"/>
  <c r="O6" i="19"/>
  <c r="P6" s="1"/>
  <c r="P11" s="1"/>
  <c r="O8"/>
  <c r="P8" s="1"/>
  <c r="N7" i="21"/>
  <c r="P7" s="1"/>
  <c r="P11" s="1"/>
  <c r="T6" i="24"/>
  <c r="O6" i="25"/>
  <c r="P6" s="1"/>
  <c r="P11" s="1"/>
  <c r="O8"/>
  <c r="P8" s="1"/>
  <c r="N9" i="28"/>
  <c r="P9" s="1"/>
  <c r="N15"/>
  <c r="O16"/>
  <c r="P16" s="1"/>
  <c r="N17"/>
  <c r="O24"/>
  <c r="P24" s="1"/>
  <c r="O25"/>
  <c r="P25" s="1"/>
  <c r="N26"/>
  <c r="P26" s="1"/>
  <c r="O6" i="29"/>
  <c r="P6" s="1"/>
  <c r="O7"/>
  <c r="O9"/>
  <c r="P9" s="1"/>
  <c r="O6" i="30"/>
  <c r="P6" s="1"/>
  <c r="O8"/>
  <c r="P8" s="1"/>
  <c r="O9"/>
  <c r="P9" s="1"/>
  <c r="O7" i="31"/>
  <c r="P7" s="1"/>
  <c r="O8"/>
  <c r="P8" s="1"/>
  <c r="P11" s="1"/>
  <c r="S6" i="32"/>
  <c r="O7"/>
  <c r="P7" s="1"/>
  <c r="O9"/>
  <c r="P9" s="1"/>
  <c r="O7" i="33"/>
  <c r="P7" s="1"/>
  <c r="O6" i="34"/>
  <c r="P6" s="1"/>
  <c r="O8"/>
  <c r="P8" s="1"/>
  <c r="O9"/>
  <c r="P9" s="1"/>
  <c r="O15" i="28"/>
  <c r="P15" s="1"/>
  <c r="P19" s="1"/>
  <c r="N24"/>
  <c r="N7" i="29"/>
  <c r="T5" i="31"/>
  <c r="S5" i="32"/>
  <c r="T5" s="1"/>
  <c r="T35" s="1"/>
  <c r="W35" s="1"/>
  <c r="O6" i="33"/>
  <c r="P6" s="1"/>
  <c r="O8"/>
  <c r="P8" s="1"/>
  <c r="P28" i="28" l="1"/>
  <c r="P11" i="26"/>
  <c r="G7" i="1"/>
  <c r="I42"/>
  <c r="N3" i="21"/>
  <c r="O3"/>
  <c r="N7" i="16"/>
  <c r="P7" s="1"/>
  <c r="N9"/>
  <c r="N8"/>
  <c r="P8" s="1"/>
  <c r="N6"/>
  <c r="P6" s="1"/>
  <c r="J4"/>
  <c r="K4" s="1"/>
  <c r="M4" i="2"/>
  <c r="O4" s="1"/>
  <c r="P11" i="30"/>
  <c r="K4" i="26"/>
  <c r="N3" i="32"/>
  <c r="O3"/>
  <c r="N3" i="31"/>
  <c r="K4" i="21"/>
  <c r="R13" i="16"/>
  <c r="M46" i="5"/>
  <c r="P6" i="20"/>
  <c r="P14" i="14"/>
  <c r="P19" s="1"/>
  <c r="P8" i="12"/>
  <c r="P11" i="10"/>
  <c r="P36" i="1"/>
  <c r="P34"/>
  <c r="K4"/>
  <c r="D37" i="2"/>
  <c r="G36" s="1"/>
  <c r="O74"/>
  <c r="O73"/>
  <c r="T17" i="31"/>
  <c r="S5"/>
  <c r="R9" i="24"/>
  <c r="D16"/>
  <c r="T9" s="1"/>
  <c r="T17" s="1"/>
  <c r="T37" i="14"/>
  <c r="S5"/>
  <c r="H41" i="5"/>
  <c r="I41" s="1"/>
  <c r="K41" s="1"/>
  <c r="H38"/>
  <c r="P7" i="29"/>
  <c r="P11" s="1"/>
  <c r="P11" i="33"/>
  <c r="P11" i="34"/>
  <c r="P11" i="15"/>
  <c r="D18" i="24"/>
  <c r="G17" s="1"/>
  <c r="P11" i="14"/>
  <c r="P11" i="28"/>
  <c r="P9" i="16"/>
  <c r="P11" i="27"/>
  <c r="P19" i="26"/>
  <c r="T22"/>
  <c r="P11" i="32"/>
  <c r="O3" i="31"/>
  <c r="P3" s="1"/>
  <c r="G36" i="28"/>
  <c r="G37" i="23"/>
  <c r="T20" i="21"/>
  <c r="P8" i="20"/>
  <c r="P31" i="1"/>
  <c r="G13" i="16"/>
  <c r="P11" i="12"/>
  <c r="P9"/>
  <c r="P12" i="9"/>
  <c r="T36" i="2"/>
  <c r="P35" i="1"/>
  <c r="S18"/>
  <c r="P6"/>
  <c r="O75" i="2"/>
  <c r="O12" i="1" l="1"/>
  <c r="P12" s="1"/>
  <c r="O11"/>
  <c r="P11" s="1"/>
  <c r="O13"/>
  <c r="P13" s="1"/>
  <c r="N8" i="24"/>
  <c r="P8" s="1"/>
  <c r="N6"/>
  <c r="P6" s="1"/>
  <c r="N9"/>
  <c r="P9" s="1"/>
  <c r="N7"/>
  <c r="P7" s="1"/>
  <c r="R17"/>
  <c r="P39" i="1"/>
  <c r="P11" i="20"/>
  <c r="P12" i="16"/>
  <c r="P3" i="21"/>
  <c r="H39" i="5"/>
  <c r="I39" s="1"/>
  <c r="K39" s="1"/>
  <c r="I38"/>
  <c r="K38" s="1"/>
  <c r="O24" i="14"/>
  <c r="P24" s="1"/>
  <c r="O22"/>
  <c r="P22" s="1"/>
  <c r="O25"/>
  <c r="P25" s="1"/>
  <c r="O23"/>
  <c r="P23" s="1"/>
  <c r="O78" i="2"/>
  <c r="K4"/>
  <c r="P3" i="32"/>
  <c r="K4" i="24"/>
  <c r="P11" l="1"/>
  <c r="P27" i="14"/>
  <c r="J13" i="5"/>
  <c r="P15" i="1"/>
  <c r="J15" i="5" l="1"/>
  <c r="J16" s="1"/>
  <c r="O46"/>
  <c r="P46" s="1"/>
</calcChain>
</file>

<file path=xl/sharedStrings.xml><?xml version="1.0" encoding="utf-8"?>
<sst xmlns="http://schemas.openxmlformats.org/spreadsheetml/2006/main" count="698" uniqueCount="88">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</sst>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76338688"/>
        <c:axId val="76340608"/>
      </c:lineChart>
      <c:dateAx>
        <c:axId val="76338688"/>
        <c:scaling>
          <c:orientation val="minMax"/>
        </c:scaling>
        <c:axPos val="b"/>
        <c:numFmt formatCode="dd/mm/yy;@" sourceLinked="1"/>
        <c:majorTickMark val="none"/>
        <c:tickLblPos val="nextTo"/>
        <c:crossAx val="76340608"/>
        <c:crosses val="autoZero"/>
        <c:lblOffset val="100"/>
      </c:dateAx>
      <c:valAx>
        <c:axId val="76340608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633868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topLeftCell="A2" workbookViewId="0">
      <selection activeCell="B40" sqref="B40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1875.124411043588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960.1346906645191</v>
      </c>
      <c r="K4" s="4">
        <f>(J4/D42-1)</f>
        <v>-0.32392447534577617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2773.5428109198497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4.5587600000000002E-3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3.5054052000000002E-2</v>
      </c>
      <c r="O11" s="39">
        <f>($S$18*Params!K16)</f>
        <v>3286.109622956571</v>
      </c>
      <c r="P11" s="23">
        <f>(O11*N11)</f>
        <v>115.19145760082004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4.5587600000000002E-3</v>
      </c>
      <c r="C12" s="40">
        <v>0</v>
      </c>
      <c r="D12" s="26">
        <f t="shared" si="0"/>
        <v>0</v>
      </c>
      <c r="E12" s="38">
        <f>(B12*J3)</f>
        <v>8.5482421600890675</v>
      </c>
      <c r="I12" t="s">
        <v>13</v>
      </c>
      <c r="J12">
        <f>(J11-B42)</f>
        <v>8.7962140000000022E-2</v>
      </c>
      <c r="N12">
        <f>($B$35/5)</f>
        <v>1.9849525999999999E-2</v>
      </c>
      <c r="O12" s="39">
        <f>($S$18*Params!K17)</f>
        <v>6572.219245913142</v>
      </c>
      <c r="P12" s="23">
        <f>(O12*N12)</f>
        <v>130.45543679945331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164.93995596163367</v>
      </c>
      <c r="N13">
        <f>($B$35/5)</f>
        <v>1.9849525999999999E-2</v>
      </c>
      <c r="O13" s="39">
        <f>($S$18*Params!K18)</f>
        <v>13144.438491826284</v>
      </c>
      <c r="P13" s="23">
        <f>(O13*N13)</f>
        <v>260.91087359890662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514.01299299917991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9.4602630000000007E-2</v>
      </c>
      <c r="S18" s="39">
        <f>(T18/R18)</f>
        <v>1643.0548114782855</v>
      </c>
      <c r="T18" s="23">
        <f>(D35+1283.68*B39)</f>
        <v>155.43730640000001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7.3021880000000003E-3</v>
      </c>
      <c r="O19" s="39">
        <f>($S$19*Params!K16)</f>
        <v>3376.4694140776901</v>
      </c>
      <c r="P19" s="23">
        <f>(O19*N19)</f>
        <v>24.655614437845141</v>
      </c>
      <c r="R19" s="24">
        <f>(B36+B38)</f>
        <v>1.9312969999999999E-2</v>
      </c>
      <c r="S19" s="39">
        <f>(T19/R19)</f>
        <v>1688.234707038845</v>
      </c>
      <c r="T19" s="23">
        <f>(D36+1269.75*B38)</f>
        <v>32.604826250000002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4.0035940000000001E-3</v>
      </c>
      <c r="O20" s="39">
        <f>($S$19*Params!K17)</f>
        <v>6752.9388281553802</v>
      </c>
      <c r="P20" s="23">
        <f>(O20*N20)</f>
        <v>27.036025374769913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4.0035940000000001E-3</v>
      </c>
      <c r="O21" s="39">
        <f>($S$19*Params!K18)</f>
        <v>13505.87765631076</v>
      </c>
      <c r="P21" s="23">
        <f>(O21*N21)</f>
        <v>54.072050749539827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106.89521556215487</v>
      </c>
      <c r="R23" s="24">
        <f>(B40)</f>
        <v>4.0796930000000002E-2</v>
      </c>
      <c r="S23" s="39">
        <f>(T23/R23)</f>
        <v>1839.5992051362687</v>
      </c>
      <c r="T23" s="23">
        <f>(D40)</f>
        <v>75.05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0.51203785999999996</v>
      </c>
      <c r="T32" s="23">
        <f>(SUM(T5:T31))</f>
        <v>1420.1589255217843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8.1593860000000011E-3</v>
      </c>
      <c r="O34" s="39">
        <f>($S$23*Params!K15)</f>
        <v>2759.3988077044032</v>
      </c>
      <c r="P34" s="23">
        <f>(O34*N34)</f>
        <v>22.515000000000004</v>
      </c>
    </row>
    <row r="35" spans="2:16">
      <c r="B35" s="24">
        <v>9.9247630000000003E-2</v>
      </c>
      <c r="C35" s="39">
        <f>(D35/B35)</f>
        <v>1626.2353065760865</v>
      </c>
      <c r="D35" s="23">
        <v>161.4</v>
      </c>
      <c r="E35" t="s">
        <v>10</v>
      </c>
      <c r="N35">
        <f>($R$23/5)</f>
        <v>8.1593860000000011E-3</v>
      </c>
      <c r="O35" s="39">
        <f>($S$23*Params!K16)</f>
        <v>3679.1984102725373</v>
      </c>
      <c r="P35" s="23">
        <f>(O35*N35)</f>
        <v>30.020000000000003</v>
      </c>
    </row>
    <row r="36" spans="2:16">
      <c r="B36" s="24">
        <v>2.001797E-2</v>
      </c>
      <c r="C36" s="39">
        <f>(D36/B36)</f>
        <v>1673.4963635173797</v>
      </c>
      <c r="D36" s="23">
        <v>33.5</v>
      </c>
      <c r="E36" t="s">
        <v>15</v>
      </c>
      <c r="N36">
        <f>($R$23/5)</f>
        <v>8.1593860000000011E-3</v>
      </c>
      <c r="O36" s="39">
        <f>($S$23*Params!K17)</f>
        <v>7358.3968205450747</v>
      </c>
      <c r="P36" s="23">
        <f>(O36*N36)</f>
        <v>60.040000000000006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8.1593860000000011E-3</v>
      </c>
      <c r="O37" s="39">
        <f>($S$23*Params!K18)</f>
        <v>14716.793641090149</v>
      </c>
      <c r="P37" s="23">
        <f>(O37*N37)</f>
        <v>120.08000000000001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232.65500000000003</v>
      </c>
    </row>
    <row r="40" spans="2:16">
      <c r="B40" s="24">
        <v>4.0796930000000002E-2</v>
      </c>
      <c r="C40" s="39">
        <f>(D40/B40)</f>
        <v>1839.5992051362687</v>
      </c>
      <c r="D40" s="23">
        <v>75.05</v>
      </c>
      <c r="E40" t="s">
        <v>18</v>
      </c>
    </row>
    <row r="42" spans="2:16">
      <c r="B42">
        <f>(SUM(B5:B41))</f>
        <v>0.51203785999999996</v>
      </c>
      <c r="D42" s="23">
        <f>(SUM(D5:D41))</f>
        <v>1420.1589255217843</v>
      </c>
      <c r="H42" t="s">
        <v>9</v>
      </c>
      <c r="I42" s="39">
        <f>D42/B42</f>
        <v>2773.5428109198497</v>
      </c>
    </row>
  </sheetData>
  <conditionalFormatting sqref="C5:C7 C11 C18:C24">
    <cfRule type="cellIs" dxfId="293" priority="37" operator="lessThan">
      <formula>$J$3</formula>
    </cfRule>
    <cfRule type="cellIs" dxfId="292" priority="38" operator="greaterThan">
      <formula>$J$3</formula>
    </cfRule>
  </conditionalFormatting>
  <conditionalFormatting sqref="C25">
    <cfRule type="cellIs" dxfId="291" priority="35" operator="lessThan">
      <formula>$J$3</formula>
    </cfRule>
    <cfRule type="cellIs" dxfId="290" priority="36" operator="greaterThan">
      <formula>$J$3</formula>
    </cfRule>
  </conditionalFormatting>
  <conditionalFormatting sqref="C27">
    <cfRule type="cellIs" dxfId="289" priority="33" operator="lessThan">
      <formula>$J$3</formula>
    </cfRule>
    <cfRule type="cellIs" dxfId="288" priority="34" operator="greaterThan">
      <formula>$J$3</formula>
    </cfRule>
  </conditionalFormatting>
  <conditionalFormatting sqref="C29">
    <cfRule type="cellIs" dxfId="287" priority="31" operator="lessThan">
      <formula>$J$3</formula>
    </cfRule>
    <cfRule type="cellIs" dxfId="286" priority="32" operator="greaterThan">
      <formula>$J$3</formula>
    </cfRule>
  </conditionalFormatting>
  <conditionalFormatting sqref="C31">
    <cfRule type="cellIs" dxfId="285" priority="29" operator="lessThan">
      <formula>$J$3</formula>
    </cfRule>
    <cfRule type="cellIs" dxfId="284" priority="30" operator="greaterThan">
      <formula>$J$3</formula>
    </cfRule>
  </conditionalFormatting>
  <conditionalFormatting sqref="C33">
    <cfRule type="cellIs" dxfId="283" priority="27" operator="lessThan">
      <formula>$J$3</formula>
    </cfRule>
    <cfRule type="cellIs" dxfId="282" priority="28" operator="greaterThan">
      <formula>$J$3</formula>
    </cfRule>
  </conditionalFormatting>
  <conditionalFormatting sqref="C35:C37">
    <cfRule type="cellIs" dxfId="281" priority="25" operator="lessThan">
      <formula>$J$3</formula>
    </cfRule>
    <cfRule type="cellIs" dxfId="280" priority="26" operator="greaterThan">
      <formula>$J$3</formula>
    </cfRule>
  </conditionalFormatting>
  <conditionalFormatting sqref="C40">
    <cfRule type="cellIs" dxfId="279" priority="23" operator="lessThan">
      <formula>$J$3</formula>
    </cfRule>
    <cfRule type="cellIs" dxfId="278" priority="24" operator="greaterThan">
      <formula>$J$3</formula>
    </cfRule>
  </conditionalFormatting>
  <conditionalFormatting sqref="I42">
    <cfRule type="cellIs" dxfId="277" priority="21" operator="lessThan">
      <formula>$J$3</formula>
    </cfRule>
    <cfRule type="cellIs" dxfId="276" priority="22" operator="greaterThan">
      <formula>$J$3</formula>
    </cfRule>
  </conditionalFormatting>
  <conditionalFormatting sqref="O11:O13">
    <cfRule type="cellIs" dxfId="275" priority="19" operator="lessThan">
      <formula>$J$3</formula>
    </cfRule>
    <cfRule type="cellIs" dxfId="274" priority="20" operator="greaterThan">
      <formula>$J$3</formula>
    </cfRule>
  </conditionalFormatting>
  <conditionalFormatting sqref="O19:O21">
    <cfRule type="cellIs" dxfId="273" priority="17" operator="lessThan">
      <formula>$J$3</formula>
    </cfRule>
    <cfRule type="cellIs" dxfId="272" priority="18" operator="greaterThan">
      <formula>$J$3</formula>
    </cfRule>
  </conditionalFormatting>
  <conditionalFormatting sqref="O26:O29">
    <cfRule type="cellIs" dxfId="271" priority="15" operator="lessThan">
      <formula>$J$3</formula>
    </cfRule>
    <cfRule type="cellIs" dxfId="270" priority="16" operator="greaterThan">
      <formula>$J$3</formula>
    </cfRule>
  </conditionalFormatting>
  <conditionalFormatting sqref="O34:O37">
    <cfRule type="cellIs" dxfId="269" priority="13" operator="lessThan">
      <formula>$J$3</formula>
    </cfRule>
    <cfRule type="cellIs" dxfId="268" priority="14" operator="greaterThan">
      <formula>$J$3</formula>
    </cfRule>
  </conditionalFormatting>
  <conditionalFormatting sqref="N6">
    <cfRule type="cellIs" dxfId="267" priority="11" operator="lessThan">
      <formula>$J$3</formula>
    </cfRule>
    <cfRule type="cellIs" dxfId="266" priority="12" operator="greaterThan">
      <formula>$J$3</formula>
    </cfRule>
  </conditionalFormatting>
  <conditionalFormatting sqref="O3">
    <cfRule type="cellIs" dxfId="265" priority="9" operator="greaterThan">
      <formula>$J$3</formula>
    </cfRule>
    <cfRule type="cellIs" dxfId="264" priority="10" operator="lessThan">
      <formula>$J$3</formula>
    </cfRule>
  </conditionalFormatting>
  <conditionalFormatting sqref="S5:S7">
    <cfRule type="cellIs" dxfId="263" priority="7" operator="lessThan">
      <formula>$J$3</formula>
    </cfRule>
    <cfRule type="cellIs" dxfId="262" priority="8" operator="greaterThan">
      <formula>$J$3</formula>
    </cfRule>
  </conditionalFormatting>
  <conditionalFormatting sqref="S10:S15">
    <cfRule type="cellIs" dxfId="261" priority="5" operator="lessThan">
      <formula>$J$3</formula>
    </cfRule>
    <cfRule type="cellIs" dxfId="260" priority="6" operator="greaterThan">
      <formula>$J$3</formula>
    </cfRule>
  </conditionalFormatting>
  <conditionalFormatting sqref="S18:S20">
    <cfRule type="cellIs" dxfId="259" priority="3" operator="lessThan">
      <formula>$J$3</formula>
    </cfRule>
    <cfRule type="cellIs" dxfId="258" priority="4" operator="greaterThan">
      <formula>$J$3</formula>
    </cfRule>
  </conditionalFormatting>
  <conditionalFormatting sqref="S23">
    <cfRule type="cellIs" dxfId="257" priority="1" operator="lessThan">
      <formula>$J$3</formula>
    </cfRule>
    <cfRule type="cellIs" dxfId="256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U8" sqref="U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1.971086252114689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18.181212684313042</v>
      </c>
      <c r="K4" s="4">
        <f>(J4/D14-1)</f>
        <v>-0.45418840254330384</v>
      </c>
      <c r="R4" t="s">
        <v>5</v>
      </c>
      <c r="S4" t="s">
        <v>6</v>
      </c>
      <c r="T4" t="s">
        <v>7</v>
      </c>
    </row>
    <row r="5" spans="2:21">
      <c r="B5" s="29">
        <v>8.7507889500000005</v>
      </c>
      <c r="C5" s="38">
        <f>(D5/B5)</f>
        <v>3.8282262538168057</v>
      </c>
      <c r="D5" s="38">
        <v>33.5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0.40722522</v>
      </c>
      <c r="S5" s="40">
        <v>0</v>
      </c>
      <c r="T5" s="26">
        <f>(D6)</f>
        <v>0</v>
      </c>
      <c r="U5" s="38">
        <f>(R5*J3)</f>
        <v>0.80267603265637966</v>
      </c>
    </row>
    <row r="6" spans="2:21">
      <c r="B6" s="36">
        <v>0.40722522</v>
      </c>
      <c r="C6" s="40">
        <v>0</v>
      </c>
      <c r="D6" s="26">
        <f>(B6*C6)</f>
        <v>0</v>
      </c>
      <c r="E6" s="38">
        <f>(B6*J3)</f>
        <v>0.80267603265637966</v>
      </c>
      <c r="M6" t="s">
        <v>11</v>
      </c>
      <c r="N6" s="29">
        <f>(SUM(R5:R7)/5)</f>
        <v>1.8447911820000003</v>
      </c>
      <c r="O6" s="38">
        <f>($C$5*Params!K8)</f>
        <v>4.9766941299618477</v>
      </c>
      <c r="P6" s="38">
        <f>(O6*N6)</f>
        <v>9.1809614464647797</v>
      </c>
      <c r="R6" s="29">
        <f>(B5)</f>
        <v>8.7507889500000005</v>
      </c>
      <c r="S6" s="38">
        <f>(T6/R6)</f>
        <v>3.8282262538168057</v>
      </c>
      <c r="T6" s="38">
        <f>(D5)</f>
        <v>33.5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1.8447911820000003</v>
      </c>
      <c r="O7" s="38">
        <f>($C$5*Params!K9)</f>
        <v>6.1251620061068897</v>
      </c>
      <c r="P7" s="38">
        <f>(O7*N7)</f>
        <v>11.299644857187422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0.3195584471545212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1.8447911820000003</v>
      </c>
      <c r="O8" s="38">
        <f>($C$5*Params!K10)</f>
        <v>8.4220977583969727</v>
      </c>
      <c r="P8" s="38">
        <f>(O8*N8)</f>
        <v>15.537011678632703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1.8447911820000003</v>
      </c>
      <c r="O9" s="38">
        <f>($C$5*Params!K11)</f>
        <v>15.312905015267223</v>
      </c>
      <c r="P9" s="38">
        <f>(O9*N9)</f>
        <v>28.249112142968553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64.26673012525346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3.6112941925369628</v>
      </c>
    </row>
    <row r="14" spans="2:21">
      <c r="B14" s="29">
        <f>(SUM(B5:B13))</f>
        <v>9.2239559100000026</v>
      </c>
      <c r="D14" s="38">
        <f>(SUM(D5:D13))</f>
        <v>33.310418410000004</v>
      </c>
      <c r="R14" s="29">
        <f>(SUM(R5:R13))</f>
        <v>9.2239559100000008</v>
      </c>
      <c r="T14" s="38">
        <f>(SUM(T5:T13))</f>
        <v>33.310418409999997</v>
      </c>
    </row>
    <row r="22" spans="4:4">
      <c r="D22" s="29"/>
    </row>
  </sheetData>
  <conditionalFormatting sqref="C5 C7:C12">
    <cfRule type="cellIs" dxfId="193" priority="7" operator="lessThan">
      <formula>$J$3</formula>
    </cfRule>
    <cfRule type="cellIs" dxfId="192" priority="8" operator="greaterThan">
      <formula>$J$3</formula>
    </cfRule>
  </conditionalFormatting>
  <conditionalFormatting sqref="O6:O9">
    <cfRule type="cellIs" dxfId="191" priority="5" operator="lessThan">
      <formula>$J$3</formula>
    </cfRule>
    <cfRule type="cellIs" dxfId="190" priority="6" operator="greaterThan">
      <formula>$J$3</formula>
    </cfRule>
  </conditionalFormatting>
  <conditionalFormatting sqref="S6:S7">
    <cfRule type="cellIs" dxfId="189" priority="3" operator="lessThan">
      <formula>$J$3</formula>
    </cfRule>
    <cfRule type="cellIs" dxfId="188" priority="4" operator="greaterThan">
      <formula>$J$3</formula>
    </cfRule>
  </conditionalFormatting>
  <conditionalFormatting sqref="G13">
    <cfRule type="cellIs" dxfId="187" priority="1" operator="lessThan">
      <formula>$J$3</formula>
    </cfRule>
    <cfRule type="cellIs" dxfId="186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9.0326631563851585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10.938464936404127</v>
      </c>
      <c r="K4" s="4">
        <f>(J4/D14-1)</f>
        <v>7.7446810650760867E-4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0.79429689960630634</v>
      </c>
      <c r="M6" t="s">
        <v>11</v>
      </c>
      <c r="N6" s="1">
        <f>(SUM($B$5:$B$7)/5)</f>
        <v>0.24219800400000002</v>
      </c>
      <c r="O6" s="38">
        <f>($C$5*Params!K8)</f>
        <v>12.800900900900901</v>
      </c>
      <c r="P6" s="38">
        <f>(O6*N6)</f>
        <v>3.1003526476000003</v>
      </c>
    </row>
    <row r="7" spans="2:16">
      <c r="B7" s="36">
        <v>1.305395E-2</v>
      </c>
      <c r="C7" s="40">
        <v>0</v>
      </c>
      <c r="D7" s="26">
        <f>(C7*B7)</f>
        <v>0</v>
      </c>
      <c r="E7" s="38">
        <f>(B7*J4)</f>
        <v>0.14279017435657265</v>
      </c>
      <c r="N7" s="1">
        <f>(SUM($B$5:$B$7)/5)</f>
        <v>0.24219800400000002</v>
      </c>
      <c r="O7" s="38">
        <f>($C$5*Params!K9)</f>
        <v>15.754954954954954</v>
      </c>
      <c r="P7" s="38">
        <f>(O7*N7)</f>
        <v>3.8158186432000001</v>
      </c>
    </row>
    <row r="8" spans="2:16">
      <c r="N8" s="1">
        <f>(SUM($B$5:$B$7)/5)</f>
        <v>0.24219800400000002</v>
      </c>
      <c r="O8" s="38">
        <f>($C$5*Params!K10)</f>
        <v>21.663063063063063</v>
      </c>
      <c r="P8" s="38">
        <f>(O8*N8)</f>
        <v>5.2467506344000006</v>
      </c>
    </row>
    <row r="9" spans="2:16">
      <c r="N9" s="1">
        <f>(SUM($B$5:$B$7)/5)</f>
        <v>0.24219800400000002</v>
      </c>
      <c r="O9" s="38">
        <f>($C$5*Params!K11)</f>
        <v>39.387387387387385</v>
      </c>
      <c r="P9" s="38">
        <f>(O9*N9)</f>
        <v>9.5395466080000002</v>
      </c>
    </row>
    <row r="12" spans="2:16">
      <c r="P12" s="38">
        <f>(SUM(P6:P9))</f>
        <v>21.702468533200001</v>
      </c>
    </row>
    <row r="13" spans="2:16">
      <c r="F13" t="s">
        <v>9</v>
      </c>
      <c r="G13" s="38">
        <f>(D14/B14)</f>
        <v>9.0256730604600683</v>
      </c>
    </row>
    <row r="14" spans="2:16">
      <c r="B14" s="19">
        <f>(SUM(B5:B13))</f>
        <v>1.2109900200000001</v>
      </c>
      <c r="D14" s="38">
        <f>(SUM(D5:D13))</f>
        <v>10.93</v>
      </c>
    </row>
  </sheetData>
  <conditionalFormatting sqref="C5">
    <cfRule type="cellIs" dxfId="185" priority="5" operator="lessThan">
      <formula>$J$3</formula>
    </cfRule>
    <cfRule type="cellIs" dxfId="184" priority="6" operator="greaterThan">
      <formula>$J$3</formula>
    </cfRule>
  </conditionalFormatting>
  <conditionalFormatting sqref="O6:O9">
    <cfRule type="cellIs" dxfId="183" priority="3" operator="lessThan">
      <formula>$J$3</formula>
    </cfRule>
    <cfRule type="cellIs" dxfId="182" priority="4" operator="greaterThan">
      <formula>$J$3</formula>
    </cfRule>
  </conditionalFormatting>
  <conditionalFormatting sqref="G13">
    <cfRule type="cellIs" dxfId="181" priority="1" operator="lessThan">
      <formula>$J$3</formula>
    </cfRule>
    <cfRule type="cellIs" dxfId="180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V8" sqref="V8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13.235407211972779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35.746261916376476</v>
      </c>
      <c r="K4" s="4">
        <f>(J4/D13-1)</f>
        <v>-0.14393221384177624</v>
      </c>
      <c r="R4" t="s">
        <v>5</v>
      </c>
      <c r="S4" t="s">
        <v>6</v>
      </c>
      <c r="T4" t="s">
        <v>7</v>
      </c>
    </row>
    <row r="5" spans="2:22">
      <c r="B5" s="24">
        <v>2.1101667900000001</v>
      </c>
      <c r="C5" s="38">
        <f>(D5/B5)</f>
        <v>15.87552233252614</v>
      </c>
      <c r="D5" s="38">
        <v>33.5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1.070728E-2</v>
      </c>
      <c r="S5" s="40">
        <v>0</v>
      </c>
      <c r="T5" s="26">
        <f>(D6)</f>
        <v>0</v>
      </c>
      <c r="U5" s="38">
        <f>(R5*J3)</f>
        <v>0.14171521093261188</v>
      </c>
    </row>
    <row r="6" spans="2:22">
      <c r="B6" s="25">
        <v>1.070728E-2</v>
      </c>
      <c r="C6" s="40">
        <v>0</v>
      </c>
      <c r="D6" s="26">
        <f>(B6*C6)</f>
        <v>0</v>
      </c>
      <c r="E6" s="38">
        <f>(B6*J3)</f>
        <v>0.14171521093261188</v>
      </c>
      <c r="M6" t="s">
        <v>11</v>
      </c>
      <c r="N6" s="24">
        <f>($B$5+$R$7)/5</f>
        <v>0.42849277400000008</v>
      </c>
      <c r="O6" s="38">
        <f>($C$5*Params!K8)</f>
        <v>20.638179032283983</v>
      </c>
      <c r="P6" s="38">
        <f>(O6*N6)</f>
        <v>8.8433105838520003</v>
      </c>
      <c r="R6" s="24">
        <f>B5</f>
        <v>2.1101667900000001</v>
      </c>
      <c r="S6" s="38">
        <f>(T6/R6)</f>
        <v>15.87552233252614</v>
      </c>
      <c r="T6" s="38">
        <f>D5</f>
        <v>33.5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0.42849277400000008</v>
      </c>
      <c r="O7" s="38">
        <f>($C$5*Params!K9)</f>
        <v>25.400835732041827</v>
      </c>
      <c r="P7" s="38">
        <f>(O7*N7)</f>
        <v>10.884074564740924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0.63111989555766135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0.42849277400000008</v>
      </c>
      <c r="O8" s="38">
        <f>($C$5*Params!K10)</f>
        <v>34.926149131557509</v>
      </c>
      <c r="P8" s="38">
        <f>(O8*N8)</f>
        <v>14.96560252651877</v>
      </c>
      <c r="R8" s="24">
        <f>(B10)</f>
        <v>0.54763444999999999</v>
      </c>
      <c r="S8" s="38">
        <f>(T8/R8)</f>
        <v>15.448261153037397</v>
      </c>
      <c r="T8" s="38">
        <f>(D10)</f>
        <v>8.4600000000000009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0.42849277400000008</v>
      </c>
      <c r="O9" s="38">
        <f>($C$5*Params!K11)</f>
        <v>63.50208933010456</v>
      </c>
      <c r="P9" s="38">
        <f>(O9*N9)</f>
        <v>27.210186411852309</v>
      </c>
    </row>
    <row r="10" spans="2:22">
      <c r="B10" s="24">
        <v>0.54763444999999999</v>
      </c>
      <c r="C10" s="38">
        <f>(D10/B10)</f>
        <v>15.448261153037397</v>
      </c>
      <c r="D10" s="38">
        <v>8.4600000000000009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61.903174086964</v>
      </c>
    </row>
    <row r="12" spans="2:22">
      <c r="F12" t="s">
        <v>9</v>
      </c>
      <c r="G12" s="38">
        <f>(D13/B13)</f>
        <v>15.460699988921824</v>
      </c>
    </row>
    <row r="13" spans="2:22">
      <c r="B13" s="24">
        <f>(SUM(B5:B12))</f>
        <v>2.7008056000000003</v>
      </c>
      <c r="D13" s="38">
        <f>(SUM(D5:D12))</f>
        <v>41.756345110000005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2.7008056000000003</v>
      </c>
      <c r="T13" s="38">
        <f>(SUM(T5:T12))</f>
        <v>41.756345109999998</v>
      </c>
    </row>
    <row r="14" spans="2:22">
      <c r="M14" t="s">
        <v>11</v>
      </c>
      <c r="N14" s="24">
        <f>($B$10)/5</f>
        <v>0.10952689</v>
      </c>
      <c r="O14" s="38">
        <f>($C$10*Params!K8)</f>
        <v>20.082739498948616</v>
      </c>
      <c r="P14" s="38">
        <f>(O14*N14)</f>
        <v>2.1996000000000002</v>
      </c>
    </row>
    <row r="15" spans="2:22">
      <c r="N15" s="24">
        <f>($B$10)/5</f>
        <v>0.10952689</v>
      </c>
      <c r="O15" s="38">
        <f>($C$10*Params!K9)</f>
        <v>24.717217844859835</v>
      </c>
      <c r="P15" s="38">
        <f>(O15*N15)</f>
        <v>2.7072000000000003</v>
      </c>
    </row>
    <row r="16" spans="2:22">
      <c r="N16" s="24">
        <f>($B$10)/5</f>
        <v>0.10952689</v>
      </c>
      <c r="O16" s="38">
        <f>($C$10*Params!K10)</f>
        <v>33.986174536682277</v>
      </c>
      <c r="P16" s="38">
        <f>(O16*N16)</f>
        <v>3.7224000000000008</v>
      </c>
    </row>
    <row r="17" spans="14:16">
      <c r="N17" s="24">
        <f>($B$10)/5</f>
        <v>0.10952689</v>
      </c>
      <c r="O17" s="38">
        <f>($C$10*Params!K11)</f>
        <v>61.793044612149586</v>
      </c>
      <c r="P17" s="38">
        <f>(O17*N17)</f>
        <v>6.7680000000000007</v>
      </c>
    </row>
    <row r="19" spans="14:16">
      <c r="P19" s="38">
        <f>(SUM(P14:P17))</f>
        <v>15.397200000000002</v>
      </c>
    </row>
  </sheetData>
  <conditionalFormatting sqref="C5 C9:C11 G12 O6:O9 O14:O17 S6">
    <cfRule type="cellIs" dxfId="179" priority="17" operator="lessThan">
      <formula>$J$3</formula>
    </cfRule>
    <cfRule type="cellIs" dxfId="178" priority="18" operator="greaterThan">
      <formula>$J$3</formula>
    </cfRule>
  </conditionalFormatting>
  <conditionalFormatting sqref="S8">
    <cfRule type="cellIs" dxfId="177" priority="11" operator="lessThan">
      <formula>$J$3</formula>
    </cfRule>
    <cfRule type="cellIs" dxfId="176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2.3331599129807982E-3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2.228835557557046</v>
      </c>
      <c r="K4" s="4">
        <f>(J4/D13-1)</f>
        <v>-0.2130265343117691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5" priority="17" operator="lessThan">
      <formula>$J$3</formula>
    </cfRule>
    <cfRule type="cellIs" dxfId="174" priority="18" operator="greaterThan">
      <formula>$J$3</formula>
    </cfRule>
  </conditionalFormatting>
  <conditionalFormatting sqref="C9:C11">
    <cfRule type="cellIs" dxfId="173" priority="15" operator="lessThan">
      <formula>$J$3</formula>
    </cfRule>
    <cfRule type="cellIs" dxfId="172" priority="16" operator="greaterThan">
      <formula>$J$3</formula>
    </cfRule>
    <cfRule type="cellIs" dxfId="171" priority="13" operator="lessThan">
      <formula>$J$3</formula>
    </cfRule>
    <cfRule type="cellIs" dxfId="170" priority="14" operator="greaterThan">
      <formula>$J$3</formula>
    </cfRule>
  </conditionalFormatting>
  <conditionalFormatting sqref="O6:O9">
    <cfRule type="cellIs" dxfId="169" priority="11" operator="lessThan">
      <formula>$J$3</formula>
    </cfRule>
    <cfRule type="cellIs" dxfId="168" priority="12" operator="greaterThan">
      <formula>$J$3</formula>
    </cfRule>
    <cfRule type="cellIs" dxfId="167" priority="9" operator="lessThan">
      <formula>$J$3</formula>
    </cfRule>
    <cfRule type="cellIs" dxfId="166" priority="10" operator="greaterThan">
      <formula>$J$3</formula>
    </cfRule>
  </conditionalFormatting>
  <conditionalFormatting sqref="S5">
    <cfRule type="cellIs" dxfId="165" priority="7" operator="lessThan">
      <formula>$J$3</formula>
    </cfRule>
    <cfRule type="cellIs" dxfId="164" priority="8" operator="greaterThan">
      <formula>$J$3</formula>
    </cfRule>
    <cfRule type="cellIs" dxfId="163" priority="5" operator="lessThan">
      <formula>$J$3</formula>
    </cfRule>
    <cfRule type="cellIs" dxfId="162" priority="6" operator="greaterThan">
      <formula>$J$3</formula>
    </cfRule>
  </conditionalFormatting>
  <conditionalFormatting sqref="G12">
    <cfRule type="cellIs" dxfId="161" priority="3" operator="lessThan">
      <formula>$J$3</formula>
    </cfRule>
    <cfRule type="cellIs" dxfId="160" priority="4" operator="greaterThan">
      <formula>$J$3</formula>
    </cfRule>
    <cfRule type="cellIs" dxfId="159" priority="1" operator="lessThan">
      <formula>$J$3</formula>
    </cfRule>
    <cfRule type="cellIs" dxfId="158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4" sqref="B14:D15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242.22827904329279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141.81673651512318</v>
      </c>
      <c r="K4" s="4">
        <f>(J4/D17-1)</f>
        <v>-0.16672389927004416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9.2285162000000004E-2</v>
      </c>
      <c r="O6" s="38">
        <f>($S$8*Params!K8)</f>
        <v>385.16050933518437</v>
      </c>
      <c r="P6" s="38">
        <f>(O6*N6)</f>
        <v>35.544600000000003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5.6923645575173806E-2</v>
      </c>
      <c r="N7" s="24">
        <f>($R$8/5)</f>
        <v>9.2285162000000004E-2</v>
      </c>
      <c r="O7" s="38">
        <f>($S$8*Params!K9)</f>
        <v>474.04370379715004</v>
      </c>
      <c r="P7" s="38">
        <f>(O7*N7)</f>
        <v>43.747200000000007</v>
      </c>
      <c r="R7" s="51">
        <f>(B7+B8+B10)</f>
        <v>1.4313199999999998E-3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2.3006841943531951E-2</v>
      </c>
      <c r="N8" s="24">
        <f>($R$8/5)</f>
        <v>9.2285162000000004E-2</v>
      </c>
      <c r="O8" s="38">
        <f>($S$8*Params!K10)</f>
        <v>651.81009272108133</v>
      </c>
      <c r="P8" s="38">
        <f>(O8*N8)</f>
        <v>60.152400000000014</v>
      </c>
      <c r="R8" s="51">
        <f>(B11)</f>
        <v>0.46142580999999999</v>
      </c>
      <c r="S8" s="38">
        <f>(C11)</f>
        <v>296.27731487321876</v>
      </c>
      <c r="T8" s="38">
        <f>(R8*S8)</f>
        <v>136.71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9.2285162000000004E-2</v>
      </c>
      <c r="O9" s="38">
        <f>($S$8*Params!K11)</f>
        <v>1185.109259492875</v>
      </c>
      <c r="P9" s="38">
        <f>(O9*N9)</f>
        <v>109.36800000000001</v>
      </c>
      <c r="R9" s="51">
        <f>(B12)</f>
        <v>0.11286581</v>
      </c>
      <c r="S9" s="38">
        <f>(C12)</f>
        <v>296.81264857798834</v>
      </c>
      <c r="T9" s="38">
        <f>(R9*S9)</f>
        <v>33.5</v>
      </c>
      <c r="U9" t="s">
        <v>15</v>
      </c>
    </row>
    <row r="10" spans="2:21">
      <c r="B10" s="52">
        <v>1.1013399999999999E-3</v>
      </c>
      <c r="C10" s="40">
        <v>0</v>
      </c>
      <c r="D10" s="26">
        <v>0</v>
      </c>
      <c r="E10" s="38">
        <f>(B10*J3)</f>
        <v>0.26677569284154007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0.46142580999999999</v>
      </c>
      <c r="C11" s="38">
        <f>(D11/B11)</f>
        <v>296.27731487321876</v>
      </c>
      <c r="D11" s="38">
        <v>136.71</v>
      </c>
      <c r="E11" t="s">
        <v>10</v>
      </c>
      <c r="P11" s="38">
        <f>(SUM(P6:P9))</f>
        <v>248.81220000000002</v>
      </c>
    </row>
    <row r="12" spans="2:21">
      <c r="B12" s="51">
        <v>0.11286581</v>
      </c>
      <c r="C12" s="38">
        <f>(D12/B12)</f>
        <v>296.81264857798834</v>
      </c>
      <c r="D12" s="38">
        <v>33.5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2.2573162000000001E-2</v>
      </c>
      <c r="O14" s="38">
        <f>($S$9*Params!K8)</f>
        <v>385.85644315138484</v>
      </c>
      <c r="P14" s="38">
        <f>(O14*N14)</f>
        <v>8.7100000000000009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2.2573162000000001E-2</v>
      </c>
      <c r="O15" s="38">
        <f>($S$9*Params!K9)</f>
        <v>474.90023772478139</v>
      </c>
      <c r="P15" s="38">
        <f>(O15*N15)</f>
        <v>10.720000000000002</v>
      </c>
    </row>
    <row r="16" spans="2:21">
      <c r="N16" s="24">
        <f>($R$9/5)</f>
        <v>2.2573162000000001E-2</v>
      </c>
      <c r="O16" s="38">
        <f>($S$9*Params!K10)</f>
        <v>652.98782687157438</v>
      </c>
      <c r="P16" s="38">
        <f>(O16*N16)</f>
        <v>14.740000000000002</v>
      </c>
    </row>
    <row r="17" spans="2:16">
      <c r="B17" s="51">
        <f>(SUM(B5:B16))</f>
        <v>0.58546729999999991</v>
      </c>
      <c r="D17" s="38">
        <f>(SUM(D5:D16))</f>
        <v>170.19177244000002</v>
      </c>
      <c r="F17" t="s">
        <v>9</v>
      </c>
      <c r="G17" s="38">
        <f>(SUM(D5:D16)/SUM(B5:B16))</f>
        <v>290.6938994543334</v>
      </c>
      <c r="N17" s="24">
        <f>($R$9/5)</f>
        <v>2.2573162000000001E-2</v>
      </c>
      <c r="O17" s="38">
        <f>($S$9*Params!K11)</f>
        <v>1187.2505943119534</v>
      </c>
      <c r="P17" s="38">
        <f>(O17*N17)</f>
        <v>26.800000000000004</v>
      </c>
    </row>
    <row r="18" spans="2:16">
      <c r="P18" s="38"/>
    </row>
    <row r="19" spans="2:16">
      <c r="P19" s="38">
        <f>(SUM(P14:P17))</f>
        <v>60.970000000000006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7.4981199999999998E-4</v>
      </c>
      <c r="O22" s="38">
        <f>($S$5*Params!K8)</f>
        <v>323.96134165178148</v>
      </c>
      <c r="P22" s="38">
        <f>(O22*N22)</f>
        <v>0.24291010150660558</v>
      </c>
    </row>
    <row r="23" spans="2:16">
      <c r="N23" s="24">
        <f>(($R$5+$R$7)/5)</f>
        <v>7.4981199999999998E-4</v>
      </c>
      <c r="O23" s="38">
        <f>($S$5*Params!K9)</f>
        <v>398.72165126373102</v>
      </c>
      <c r="P23" s="38">
        <f>(O23*N23)</f>
        <v>0.29896627877736065</v>
      </c>
    </row>
    <row r="24" spans="2:16">
      <c r="N24" s="24">
        <f>(($R$5+$R$7)/5)</f>
        <v>7.4981199999999998E-4</v>
      </c>
      <c r="O24" s="38">
        <f>($S$5*Params!K10)</f>
        <v>548.24227048763021</v>
      </c>
      <c r="P24" s="38">
        <f>(O24*N24)</f>
        <v>0.41107863331887096</v>
      </c>
    </row>
    <row r="25" spans="2:16">
      <c r="N25" s="24">
        <f>(($R$5+$R$7)/5)</f>
        <v>7.4981199999999998E-4</v>
      </c>
      <c r="O25" s="38">
        <f>($S$5*Params!K11)</f>
        <v>996.80412815932755</v>
      </c>
      <c r="P25" s="38">
        <f>(O25*N25)</f>
        <v>0.74741569694340171</v>
      </c>
    </row>
    <row r="26" spans="2:16">
      <c r="P26" s="38"/>
    </row>
    <row r="27" spans="2:16">
      <c r="P27" s="38">
        <f>(SUM(P22:P25))</f>
        <v>1.7003707105462389</v>
      </c>
    </row>
    <row r="37" spans="18:20">
      <c r="R37" s="51">
        <f>(SUM(R5:R27))</f>
        <v>0.58546730000000002</v>
      </c>
      <c r="T37" s="38">
        <f>(SUM(T5:T27))</f>
        <v>170.19177244000002</v>
      </c>
    </row>
  </sheetData>
  <conditionalFormatting sqref="C5:C6 C9 C11:C14 O6:O9 O14 S5:S6 S8:S9">
    <cfRule type="cellIs" dxfId="157" priority="9" operator="lessThan">
      <formula>$J$3</formula>
    </cfRule>
    <cfRule type="cellIs" dxfId="156" priority="10" operator="greaterThan">
      <formula>$J$3</formula>
    </cfRule>
  </conditionalFormatting>
  <conditionalFormatting sqref="O15:O17">
    <cfRule type="cellIs" dxfId="155" priority="5" operator="lessThan">
      <formula>$J$3</formula>
    </cfRule>
    <cfRule type="cellIs" dxfId="154" priority="6" operator="greaterThan">
      <formula>$J$3</formula>
    </cfRule>
  </conditionalFormatting>
  <conditionalFormatting sqref="O22:O25">
    <cfRule type="cellIs" dxfId="153" priority="3" operator="lessThan">
      <formula>$J$3</formula>
    </cfRule>
    <cfRule type="cellIs" dxfId="152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7.9964028982274643E-2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4.9050109283497498</v>
      </c>
      <c r="K4" s="4">
        <f>(J4/D13-1)</f>
        <v>-1.8997814330049989E-2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0.22109909</v>
      </c>
      <c r="C6" s="40">
        <v>0</v>
      </c>
      <c r="D6" s="26">
        <f>(B6*C6)</f>
        <v>0</v>
      </c>
      <c r="E6" s="38">
        <f>(B6*J3)</f>
        <v>1.7679974040714551E-2</v>
      </c>
      <c r="M6" t="s">
        <v>11</v>
      </c>
      <c r="N6" s="29">
        <f>($B$13/5)</f>
        <v>12.268043496000001</v>
      </c>
      <c r="O6" s="38">
        <f>($C$5*Params!K8)</f>
        <v>0.10634970155367125</v>
      </c>
      <c r="P6" s="38">
        <f>(O6*N6)</f>
        <v>1.3047027644470577</v>
      </c>
    </row>
    <row r="7" spans="2:16">
      <c r="N7" s="29">
        <f>($B$13/5)</f>
        <v>12.268043496000001</v>
      </c>
      <c r="O7" s="38">
        <f>($C$5*Params!K9)</f>
        <v>0.13089194037374924</v>
      </c>
      <c r="P7" s="38">
        <f>(O7*N7)</f>
        <v>1.6057880177809942</v>
      </c>
    </row>
    <row r="8" spans="2:16">
      <c r="N8" s="29">
        <f>($B$13/5)</f>
        <v>12.268043496000001</v>
      </c>
      <c r="O8" s="38">
        <f>($C$5*Params!K10)</f>
        <v>0.17997641801390521</v>
      </c>
      <c r="P8" s="38">
        <f>(O8*N8)</f>
        <v>2.2079585244488671</v>
      </c>
    </row>
    <row r="9" spans="2:16">
      <c r="N9" s="29">
        <f>($B$13/5)</f>
        <v>12.268043496000001</v>
      </c>
      <c r="O9" s="38">
        <f>($C$5*Params!K11)</f>
        <v>0.32722985093437307</v>
      </c>
      <c r="P9" s="38">
        <f>(O9*N9)</f>
        <v>4.0144700444524855</v>
      </c>
    </row>
    <row r="11" spans="2:16">
      <c r="P11" s="38">
        <f>(SUM(P6:P9))</f>
        <v>9.132919351129404</v>
      </c>
    </row>
    <row r="12" spans="2:16">
      <c r="F12" t="s">
        <v>9</v>
      </c>
      <c r="G12" s="38">
        <f>(D13/B13)</f>
        <v>8.1512590033288548E-2</v>
      </c>
    </row>
    <row r="13" spans="2:16">
      <c r="B13" s="29">
        <f>(SUM(B5:B12))</f>
        <v>61.34021748</v>
      </c>
      <c r="D13" s="38">
        <f>(SUM(D5:D12))</f>
        <v>5</v>
      </c>
    </row>
  </sheetData>
  <conditionalFormatting sqref="O6:O9">
    <cfRule type="cellIs" dxfId="151" priority="5" operator="lessThan">
      <formula>$J$3</formula>
    </cfRule>
    <cfRule type="cellIs" dxfId="150" priority="6" operator="greaterThan">
      <formula>$J$3</formula>
    </cfRule>
  </conditionalFormatting>
  <conditionalFormatting sqref="C5">
    <cfRule type="cellIs" dxfId="149" priority="3" operator="lessThan">
      <formula>$J$3</formula>
    </cfRule>
    <cfRule type="cellIs" dxfId="148" priority="4" operator="greaterThan">
      <formula>$J$3</formula>
    </cfRule>
  </conditionalFormatting>
  <conditionalFormatting sqref="G12">
    <cfRule type="cellIs" dxfId="147" priority="1" operator="lessThan">
      <formula>$J$3</formula>
    </cfRule>
    <cfRule type="cellIs" dxfId="146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5" sqref="B5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5.2284295521185848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31.147675244144907</v>
      </c>
      <c r="K4" s="4">
        <f>(J4/D14-1)</f>
        <v>-7.8316898592914241E-2</v>
      </c>
      <c r="R4" t="s">
        <v>5</v>
      </c>
      <c r="S4" t="s">
        <v>6</v>
      </c>
      <c r="T4" t="s">
        <v>7</v>
      </c>
    </row>
    <row r="5" spans="2:21">
      <c r="B5" s="24">
        <v>5.8428540599999996</v>
      </c>
      <c r="C5" s="38">
        <f>(D5/B5)</f>
        <v>5.7334993576752113</v>
      </c>
      <c r="D5" s="38">
        <v>33.5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2.6731789999999998E-2</v>
      </c>
      <c r="S5" s="40">
        <v>0</v>
      </c>
      <c r="T5" s="26">
        <f>(D6)</f>
        <v>0</v>
      </c>
      <c r="U5">
        <f>(R5*J3)</f>
        <v>0.13976528081702805</v>
      </c>
    </row>
    <row r="6" spans="2:21">
      <c r="B6" s="25">
        <v>2.6731789999999998E-2</v>
      </c>
      <c r="C6" s="40">
        <v>0</v>
      </c>
      <c r="D6" s="26">
        <f>(B6*C6)</f>
        <v>0</v>
      </c>
      <c r="E6" s="38">
        <f>(B6*J3)</f>
        <v>0.13976528081702805</v>
      </c>
      <c r="M6" t="s">
        <v>11</v>
      </c>
      <c r="N6" s="24">
        <f>($B$14/5)</f>
        <v>1.1914734600000001</v>
      </c>
      <c r="O6" s="38">
        <f>($S$6*Params!K8)</f>
        <v>7.4535491649777752</v>
      </c>
      <c r="P6" s="38">
        <f>(O6*N6)</f>
        <v>8.8807060128761819</v>
      </c>
      <c r="R6" s="24">
        <f>B5</f>
        <v>5.8428540599999996</v>
      </c>
      <c r="S6" s="38">
        <f>(T6/R6)</f>
        <v>5.7334993576752113</v>
      </c>
      <c r="T6" s="38">
        <f>D5</f>
        <v>33.5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1.1914734600000001</v>
      </c>
      <c r="O7" s="38">
        <f>($S$6*Params!K9)</f>
        <v>9.1735989722803382</v>
      </c>
      <c r="P7" s="38">
        <f>(O7*N7)</f>
        <v>10.9300997081553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1.1914734600000001</v>
      </c>
      <c r="O8" s="38">
        <f>($C$5*Params!K10)</f>
        <v>12.613698586885466</v>
      </c>
      <c r="P8" s="38">
        <f>(O8*N8)</f>
        <v>15.028887098713538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1.1914734600000001</v>
      </c>
      <c r="O9" s="38">
        <f>($C$5*Params!K11)</f>
        <v>22.933997430700845</v>
      </c>
      <c r="P9" s="38">
        <f>(O9*N9)</f>
        <v>27.325249270388248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62.164942090133266</v>
      </c>
    </row>
    <row r="13" spans="2:21">
      <c r="F13" t="s">
        <v>9</v>
      </c>
      <c r="G13" s="38">
        <f>(D14/B14)</f>
        <v>5.6726976377635792</v>
      </c>
      <c r="N13" s="24"/>
      <c r="P13" s="38"/>
      <c r="R13" s="24">
        <f>(SUM(R5:R12))</f>
        <v>5.9573672999999996</v>
      </c>
      <c r="T13" s="38">
        <f>(SUM(T5:T12))</f>
        <v>33.794343410000003</v>
      </c>
    </row>
    <row r="14" spans="2:21">
      <c r="B14">
        <f>(SUM(B5:B13))</f>
        <v>5.9573673000000005</v>
      </c>
      <c r="D14" s="38">
        <f>(SUM(D5:D13))</f>
        <v>33.794343409999996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5" priority="15" operator="lessThan">
      <formula>$J$3</formula>
    </cfRule>
    <cfRule type="cellIs" dxfId="144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32.585714290912577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4.0196283826412378</v>
      </c>
      <c r="K4" s="4">
        <f>(J4/D13-1)</f>
        <v>-0.22699454179976197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2.5078700000000002E-3</v>
      </c>
      <c r="C6" s="40">
        <v>0</v>
      </c>
      <c r="D6" s="26">
        <f>(B6*C6)</f>
        <v>0</v>
      </c>
      <c r="E6" s="38">
        <f>(B6*J3)</f>
        <v>8.1720735298750929E-2</v>
      </c>
      <c r="M6" t="s">
        <v>11</v>
      </c>
      <c r="N6" s="24">
        <f>($B$13/5)</f>
        <v>2.4671108000000001E-2</v>
      </c>
      <c r="O6" s="38">
        <f>($C$5*Params!K8)</f>
        <v>55.939</v>
      </c>
      <c r="P6" s="38">
        <f>(O6*N6)</f>
        <v>1.380077110412</v>
      </c>
    </row>
    <row r="7" spans="2:16">
      <c r="N7" s="24">
        <f>($B$13/5)</f>
        <v>2.4671108000000001E-2</v>
      </c>
      <c r="O7" s="38">
        <f>($C$5*Params!K9)</f>
        <v>68.847999999999999</v>
      </c>
      <c r="P7" s="38">
        <f>(O7*N7)</f>
        <v>1.6985564435839999</v>
      </c>
    </row>
    <row r="8" spans="2:16">
      <c r="N8" s="24">
        <f>($B$13/5)</f>
        <v>2.4671108000000001E-2</v>
      </c>
      <c r="O8" s="38">
        <f>($C$5*Params!K10)</f>
        <v>94.666000000000011</v>
      </c>
      <c r="P8" s="38">
        <f>(O8*N8)</f>
        <v>2.3355151099280005</v>
      </c>
    </row>
    <row r="9" spans="2:16">
      <c r="N9" s="24">
        <f>($B$13/5)</f>
        <v>2.4671108000000001E-2</v>
      </c>
      <c r="O9" s="38">
        <f>($C$5*Params!K11)</f>
        <v>172.12</v>
      </c>
      <c r="P9" s="38">
        <f>(O9*N9)</f>
        <v>4.2463911089600002</v>
      </c>
    </row>
    <row r="11" spans="2:16">
      <c r="P11" s="38">
        <f>(SUM(P6:P9))</f>
        <v>9.6605397728840003</v>
      </c>
    </row>
    <row r="12" spans="2:16">
      <c r="F12" t="s">
        <v>9</v>
      </c>
      <c r="G12" s="38">
        <f>(D13/B13)</f>
        <v>42.154572060565748</v>
      </c>
    </row>
    <row r="13" spans="2:16">
      <c r="B13">
        <f>(SUM(B5:B12))</f>
        <v>0.12335554</v>
      </c>
      <c r="D13" s="38">
        <f>(SUM(D5:D12))</f>
        <v>5.2</v>
      </c>
    </row>
  </sheetData>
  <conditionalFormatting sqref="C5">
    <cfRule type="cellIs" dxfId="143" priority="3" operator="lessThan">
      <formula>$J$3</formula>
    </cfRule>
    <cfRule type="cellIs" dxfId="142" priority="4" operator="greaterThan">
      <formula>$J$3</formula>
    </cfRule>
  </conditionalFormatting>
  <conditionalFormatting sqref="O6:O9">
    <cfRule type="cellIs" dxfId="141" priority="1" operator="lessThan">
      <formula>$J$3</formula>
    </cfRule>
    <cfRule type="cellIs" dxfId="140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5" sqref="B5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4.3000393178020362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7.3690282913828717</v>
      </c>
      <c r="K4" s="4">
        <f>(J4/D10-1)</f>
        <v>-0.13509057612877085</v>
      </c>
    </row>
    <row r="5" spans="2:16">
      <c r="B5" s="1">
        <v>1.7125910200000001</v>
      </c>
      <c r="C5" s="38">
        <f>(D5/B5)</f>
        <v>4.9749180630411098</v>
      </c>
      <c r="D5" s="38">
        <v>8.52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1.12082E-3</v>
      </c>
      <c r="C6" s="40">
        <v>0</v>
      </c>
      <c r="D6" s="26">
        <f>(B6*C6)</f>
        <v>0</v>
      </c>
      <c r="E6" s="38">
        <f>(B6*J3)</f>
        <v>4.8195700681788779E-3</v>
      </c>
      <c r="M6" t="s">
        <v>11</v>
      </c>
      <c r="N6" s="24">
        <f>($B$10/5)</f>
        <v>0.34274236800000002</v>
      </c>
      <c r="O6" s="38">
        <f>($C$5*Params!K8)</f>
        <v>6.4673934819534429</v>
      </c>
      <c r="P6" s="38">
        <f>(O6*N6)</f>
        <v>2.2166497567924885</v>
      </c>
    </row>
    <row r="7" spans="2:16">
      <c r="N7" s="24">
        <f>($B$10/5)</f>
        <v>0.34274236800000002</v>
      </c>
      <c r="O7" s="38">
        <f>($C$5*Params!K9)</f>
        <v>7.9598689008657759</v>
      </c>
      <c r="P7" s="38">
        <f>(O7*N7)</f>
        <v>2.7281843160522934</v>
      </c>
    </row>
    <row r="8" spans="2:16">
      <c r="N8" s="24">
        <f>($B$10/5)</f>
        <v>0.34274236800000002</v>
      </c>
      <c r="O8" s="38">
        <f>($C$5*Params!K10)</f>
        <v>10.944819738690443</v>
      </c>
      <c r="P8" s="38">
        <f>(O8*N8)</f>
        <v>3.751253434571904</v>
      </c>
    </row>
    <row r="9" spans="2:16">
      <c r="F9" t="s">
        <v>9</v>
      </c>
      <c r="G9" s="38">
        <f>(D10/B10)</f>
        <v>4.9716643143458699</v>
      </c>
      <c r="N9" s="24">
        <f>($B$10/5)</f>
        <v>0.34274236800000002</v>
      </c>
      <c r="O9" s="38">
        <f>($C$5*Params!K11)</f>
        <v>19.899672252164439</v>
      </c>
      <c r="P9" s="38">
        <f>(O9*N9)</f>
        <v>6.820460790130733</v>
      </c>
    </row>
    <row r="10" spans="2:16">
      <c r="B10">
        <f>(SUM(B5:B9))</f>
        <v>1.71371184</v>
      </c>
      <c r="D10" s="38">
        <f>(SUM(D5:D9))</f>
        <v>8.52</v>
      </c>
    </row>
    <row r="11" spans="2:16">
      <c r="P11" s="38">
        <f>(SUM(P6:P9))</f>
        <v>15.516548297547418</v>
      </c>
    </row>
    <row r="12" spans="2:16">
      <c r="P12" s="38"/>
    </row>
  </sheetData>
  <conditionalFormatting sqref="C5">
    <cfRule type="cellIs" dxfId="139" priority="5" operator="lessThan">
      <formula>$J$3</formula>
    </cfRule>
    <cfRule type="cellIs" dxfId="138" priority="6" operator="greaterThan">
      <formula>$J$3</formula>
    </cfRule>
  </conditionalFormatting>
  <conditionalFormatting sqref="O6:O9">
    <cfRule type="cellIs" dxfId="137" priority="3" operator="lessThan">
      <formula>$J$3</formula>
    </cfRule>
    <cfRule type="cellIs" dxfId="136" priority="4" operator="greaterThan">
      <formula>$J$3</formula>
    </cfRule>
  </conditionalFormatting>
  <conditionalFormatting sqref="G9">
    <cfRule type="cellIs" dxfId="135" priority="1" operator="lessThan">
      <formula>$J$3</formula>
    </cfRule>
    <cfRule type="cellIs" dxfId="134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O41" sqref="O41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1.938012335548627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8.846469830917453</v>
      </c>
      <c r="K4" s="4">
        <f>(J4/D10-1)</f>
        <v>-0.130140626261804</v>
      </c>
    </row>
    <row r="5" spans="2:16">
      <c r="B5" s="1">
        <v>4.5497915799999999</v>
      </c>
      <c r="C5" s="38">
        <f>(D5/B5)</f>
        <v>2.2352672251417722</v>
      </c>
      <c r="D5" s="38">
        <v>10.17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1.492128E-2</v>
      </c>
      <c r="C6" s="40">
        <v>0</v>
      </c>
      <c r="D6" s="26">
        <f>(B6*C6)</f>
        <v>0</v>
      </c>
      <c r="E6" s="38">
        <f>(B6*J3)</f>
        <v>2.8917624702175015E-2</v>
      </c>
      <c r="M6" t="s">
        <v>11</v>
      </c>
      <c r="N6" s="1">
        <f>($B$10/5)</f>
        <v>0.91294257200000006</v>
      </c>
      <c r="O6" s="38">
        <f>($C$5*Params!K8)</f>
        <v>2.9058473926843038</v>
      </c>
      <c r="P6" s="38">
        <f>(O6*N6)</f>
        <v>2.6528717925167027</v>
      </c>
    </row>
    <row r="7" spans="2:16">
      <c r="N7" s="1">
        <f>($B$10/5)</f>
        <v>0.91294257200000006</v>
      </c>
      <c r="O7" s="38">
        <f>($C$5*Params!K9)</f>
        <v>3.5764275602268358</v>
      </c>
      <c r="P7" s="38">
        <f>(O7*N7)</f>
        <v>3.2650729754051726</v>
      </c>
    </row>
    <row r="8" spans="2:16">
      <c r="N8" s="1">
        <f>($B$10/5)</f>
        <v>0.91294257200000006</v>
      </c>
      <c r="O8" s="38">
        <f>($C$5*Params!K10)</f>
        <v>4.9175878953118994</v>
      </c>
      <c r="P8" s="38">
        <f>(O8*N8)</f>
        <v>4.4894753411821124</v>
      </c>
    </row>
    <row r="9" spans="2:16">
      <c r="F9" t="s">
        <v>9</v>
      </c>
      <c r="G9" s="38">
        <f>(D10/B10)</f>
        <v>2.2279605118469599</v>
      </c>
      <c r="N9" s="1">
        <f>($B$10/5)</f>
        <v>0.91294257200000006</v>
      </c>
      <c r="O9" s="38">
        <f>($C$5*Params!K11)</f>
        <v>8.9410689005670889</v>
      </c>
      <c r="P9" s="38">
        <f>(O9*N9)</f>
        <v>8.1626824385129311</v>
      </c>
    </row>
    <row r="10" spans="2:16">
      <c r="B10" s="1">
        <f>(SUM(B5:B9))</f>
        <v>4.5647128600000002</v>
      </c>
      <c r="D10" s="38">
        <f>(SUM(D5:D9))</f>
        <v>10.17</v>
      </c>
    </row>
    <row r="11" spans="2:16">
      <c r="P11" s="38">
        <f>(SUM(P6:P9))</f>
        <v>18.570102547616919</v>
      </c>
    </row>
  </sheetData>
  <conditionalFormatting sqref="C5">
    <cfRule type="cellIs" dxfId="133" priority="5" operator="lessThan">
      <formula>$J$3</formula>
    </cfRule>
    <cfRule type="cellIs" dxfId="132" priority="6" operator="greaterThan">
      <formula>$J$3</formula>
    </cfRule>
  </conditionalFormatting>
  <conditionalFormatting sqref="O6:O9">
    <cfRule type="cellIs" dxfId="131" priority="3" operator="lessThan">
      <formula>$J$3</formula>
    </cfRule>
    <cfRule type="cellIs" dxfId="130" priority="4" operator="greaterThan">
      <formula>$J$3</formula>
    </cfRule>
  </conditionalFormatting>
  <conditionalFormatting sqref="G9">
    <cfRule type="cellIs" dxfId="129" priority="1" operator="lessThan">
      <formula>$J$3</formula>
    </cfRule>
    <cfRule type="cellIs" dxfId="128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J3" sqref="J3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29285.125132937501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852.26918277630853</v>
      </c>
      <c r="K4" s="4">
        <f>(J4/D37-1)</f>
        <v>0.23454942939907752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3.2763999999999997E-4</v>
      </c>
      <c r="C6" s="40">
        <v>0</v>
      </c>
      <c r="D6" s="26">
        <f>(B6*C6)</f>
        <v>0</v>
      </c>
      <c r="E6" s="38">
        <f>(B6*J3)</f>
        <v>9.5949783985556412</v>
      </c>
      <c r="I6" t="s">
        <v>11</v>
      </c>
      <c r="J6">
        <v>0.03</v>
      </c>
      <c r="R6" s="24">
        <f t="shared" si="0"/>
        <v>3.2763999999999997E-4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8.9753999999999182E-4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26.284571211816484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5.8359099999999997E-3</v>
      </c>
      <c r="S19" s="38">
        <f t="shared" si="2"/>
        <v>23133.667037360068</v>
      </c>
      <c r="T19" s="38">
        <f>(D23+17438.6*B32)</f>
        <v>135.00599879999999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1.3189E-3</v>
      </c>
      <c r="S20" s="38">
        <f t="shared" si="2"/>
        <v>24720.569336568355</v>
      </c>
      <c r="T20" s="38">
        <f>(D24+17211.7*B31)</f>
        <v>32.603958898000002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6.17791E-3</v>
      </c>
      <c r="C23" s="38">
        <f t="shared" si="3"/>
        <v>22818.396512736508</v>
      </c>
      <c r="D23" s="38">
        <v>140.97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1.3709600000000001E-3</v>
      </c>
      <c r="C24" s="38">
        <f t="shared" si="3"/>
        <v>24435.432105969539</v>
      </c>
      <c r="D24" s="38">
        <v>33.5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1.5849499999999999E-3</v>
      </c>
      <c r="S24" s="38">
        <f>(T24/R24)</f>
        <v>25836.777185400173</v>
      </c>
      <c r="T24" s="38">
        <f>(D34)</f>
        <v>40.950000000000003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1.5849499999999999E-3</v>
      </c>
      <c r="C34" s="38">
        <f>(D34/B34)</f>
        <v>25836.777185400173</v>
      </c>
      <c r="D34" s="38">
        <v>40.950000000000003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23721.306280293833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2.837319E-2</v>
      </c>
      <c r="T36" s="38">
        <f>(SUM(T5:T25))</f>
        <v>506.26980017</v>
      </c>
    </row>
    <row r="37" spans="2:20">
      <c r="B37">
        <f>(SUM(B5:B36))</f>
        <v>2.9102460000000007E-2</v>
      </c>
      <c r="D37" s="38">
        <f>(SUM(D5:D36))</f>
        <v>690.34836717000019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2.1291640000000002E-3</v>
      </c>
      <c r="N50" s="38">
        <f>($S$19*Params!K16)</f>
        <v>46267.334074720136</v>
      </c>
      <c r="O50" s="41">
        <f>(N50*M50)</f>
        <v>98.510742087867442</v>
      </c>
    </row>
    <row r="51" spans="12:16">
      <c r="M51">
        <f>($B$23/5)</f>
        <v>1.235582E-3</v>
      </c>
      <c r="N51" s="38">
        <f>($S$19*Params!K17)</f>
        <v>92534.668149440273</v>
      </c>
      <c r="O51" s="41">
        <f>(N51*M51)</f>
        <v>114.33417034142171</v>
      </c>
    </row>
    <row r="52" spans="12:16">
      <c r="M52">
        <f>($B$23/5)</f>
        <v>1.235582E-3</v>
      </c>
      <c r="N52" s="38">
        <f>($S$19*Params!K18)</f>
        <v>185069.33629888055</v>
      </c>
      <c r="O52" s="41">
        <f>(N52*M52)</f>
        <v>228.66834068284342</v>
      </c>
    </row>
    <row r="54" spans="12:16">
      <c r="O54" s="41">
        <f>(SUM(O49:O52))</f>
        <v>448.96885311213259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4.9632400000000003E-4</v>
      </c>
      <c r="N58" s="38">
        <f>($S$20*Params!K16)</f>
        <v>49441.138673136709</v>
      </c>
      <c r="O58" s="41">
        <f>(N58*M58)</f>
        <v>24.538823710805904</v>
      </c>
    </row>
    <row r="59" spans="12:16">
      <c r="M59">
        <f>($B$24/5)</f>
        <v>2.7419200000000003E-4</v>
      </c>
      <c r="N59" s="38">
        <f>($S$20*Params!K17)</f>
        <v>98882.277346273419</v>
      </c>
      <c r="O59" s="41">
        <f>(N59*M59)</f>
        <v>27.112729390129406</v>
      </c>
    </row>
    <row r="60" spans="12:16">
      <c r="M60">
        <f>($B$24/5)</f>
        <v>2.7419200000000003E-4</v>
      </c>
      <c r="N60" s="38">
        <f>($S$20*Params!K18)</f>
        <v>197764.55469254684</v>
      </c>
      <c r="O60" s="41">
        <f>(N60*M60)</f>
        <v>54.225458780258812</v>
      </c>
    </row>
    <row r="62" spans="12:16">
      <c r="O62" s="41">
        <f>(SUM(O57:O60))</f>
        <v>106.99942548119412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3.1698999999999996E-4</v>
      </c>
      <c r="N73" s="38">
        <f>($S$24*Params!K15)</f>
        <v>38755.165778100258</v>
      </c>
      <c r="O73" s="41">
        <f>(N73*M73)</f>
        <v>12.284999999999998</v>
      </c>
    </row>
    <row r="74" spans="12:16">
      <c r="M74">
        <f>($R$24/5)</f>
        <v>3.1698999999999996E-4</v>
      </c>
      <c r="N74" s="38">
        <f>($S$24*Params!K16)</f>
        <v>51673.554370800346</v>
      </c>
      <c r="O74" s="41">
        <f>(N74*M74)</f>
        <v>16.38</v>
      </c>
    </row>
    <row r="75" spans="12:16">
      <c r="M75">
        <f>($R$24/5)</f>
        <v>3.1698999999999996E-4</v>
      </c>
      <c r="N75" s="38">
        <f>($S$24*Params!K17)</f>
        <v>103347.10874160069</v>
      </c>
      <c r="O75" s="41">
        <f>(N75*M75)</f>
        <v>32.76</v>
      </c>
    </row>
    <row r="76" spans="12:16">
      <c r="M76">
        <f>($R$24/5)</f>
        <v>3.1698999999999996E-4</v>
      </c>
      <c r="N76" s="38">
        <f>($S$24*Params!K18)</f>
        <v>206694.21748320138</v>
      </c>
      <c r="O76" s="41">
        <f>(N76*M76)</f>
        <v>65.52</v>
      </c>
    </row>
    <row r="78" spans="12:16">
      <c r="O78" s="41">
        <f>(SUM(O73:O76))</f>
        <v>126.94499999999999</v>
      </c>
    </row>
  </sheetData>
  <conditionalFormatting sqref="C5 C7:C17 C19:C20 C22:C25 C34:C35 G36 N10:N12 N20 N26:N28 N34 S5 S7:S21 S24">
    <cfRule type="cellIs" dxfId="255" priority="45" operator="lessThan">
      <formula>$J$3</formula>
    </cfRule>
    <cfRule type="cellIs" dxfId="254" priority="46" operator="greaterThan">
      <formula>$J$3</formula>
    </cfRule>
  </conditionalFormatting>
  <conditionalFormatting sqref="N35:N36">
    <cfRule type="cellIs" dxfId="253" priority="19" operator="lessThan">
      <formula>$J$3</formula>
    </cfRule>
    <cfRule type="cellIs" dxfId="252" priority="20" operator="greaterThan">
      <formula>$J$3</formula>
    </cfRule>
  </conditionalFormatting>
  <conditionalFormatting sqref="N42:N44">
    <cfRule type="cellIs" dxfId="251" priority="17" operator="lessThan">
      <formula>$J$3</formula>
    </cfRule>
    <cfRule type="cellIs" dxfId="250" priority="18" operator="greaterThan">
      <formula>$J$3</formula>
    </cfRule>
  </conditionalFormatting>
  <conditionalFormatting sqref="N50:N52">
    <cfRule type="cellIs" dxfId="249" priority="15" operator="lessThan">
      <formula>$J$3</formula>
    </cfRule>
    <cfRule type="cellIs" dxfId="248" priority="16" operator="greaterThan">
      <formula>$J$3</formula>
    </cfRule>
  </conditionalFormatting>
  <conditionalFormatting sqref="N58:N60">
    <cfRule type="cellIs" dxfId="247" priority="13" operator="lessThan">
      <formula>$J$3</formula>
    </cfRule>
    <cfRule type="cellIs" dxfId="246" priority="14" operator="greaterThan">
      <formula>$J$3</formula>
    </cfRule>
  </conditionalFormatting>
  <conditionalFormatting sqref="N66:N68">
    <cfRule type="cellIs" dxfId="245" priority="11" operator="lessThan">
      <formula>$J$3</formula>
    </cfRule>
    <cfRule type="cellIs" dxfId="244" priority="12" operator="greaterThan">
      <formula>$J$3</formula>
    </cfRule>
  </conditionalFormatting>
  <conditionalFormatting sqref="N73:N76">
    <cfRule type="cellIs" dxfId="243" priority="9" operator="lessThan">
      <formula>$J$3</formula>
    </cfRule>
    <cfRule type="cellIs" dxfId="242" priority="10" operator="greaterThan">
      <formula>$J$3</formula>
    </cfRule>
  </conditionalFormatting>
  <conditionalFormatting sqref="N4">
    <cfRule type="cellIs" dxfId="241" priority="1" operator="greaterThan">
      <formula>$J$3</formula>
    </cfRule>
    <cfRule type="cellIs" dxfId="240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7.7509209403498032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9.5350603212490519</v>
      </c>
      <c r="K4" s="4">
        <f>(J4/D10-1)</f>
        <v>0.14742001459074028</v>
      </c>
    </row>
    <row r="5" spans="2:16">
      <c r="B5" s="1">
        <v>1.22902635</v>
      </c>
      <c r="C5" s="38">
        <f>(D5/B5)</f>
        <v>6.7614498257095956</v>
      </c>
      <c r="D5" s="38">
        <v>8.31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1.1578300000000001E-3</v>
      </c>
      <c r="C6" s="40">
        <v>0</v>
      </c>
      <c r="D6" s="26">
        <f>(B6*C6)</f>
        <v>0</v>
      </c>
      <c r="E6" s="38">
        <f>(B6*J3)</f>
        <v>8.974248792365214E-3</v>
      </c>
      <c r="M6" t="s">
        <v>11</v>
      </c>
      <c r="N6" s="24">
        <f>($B$10/5)</f>
        <v>0.24603683599999998</v>
      </c>
      <c r="O6" s="38">
        <f>($C$5*Params!K8)</f>
        <v>8.7898847734224752</v>
      </c>
      <c r="P6" s="38">
        <f>(O6*N6)</f>
        <v>2.1626354384574427</v>
      </c>
    </row>
    <row r="7" spans="2:16">
      <c r="C7" s="38"/>
      <c r="D7" s="38"/>
      <c r="N7" s="24">
        <f>($B$10/5)</f>
        <v>0.24603683599999998</v>
      </c>
      <c r="O7" s="38">
        <f>($C$5*Params!K9)</f>
        <v>10.818319721135353</v>
      </c>
      <c r="P7" s="38">
        <f>(O7*N7)</f>
        <v>2.6617051550245443</v>
      </c>
    </row>
    <row r="8" spans="2:16">
      <c r="C8" s="38"/>
      <c r="D8" s="38"/>
      <c r="N8" s="24">
        <f>($B$10/5)</f>
        <v>0.24603683599999998</v>
      </c>
      <c r="O8" s="38">
        <f>($C$5*Params!K10)</f>
        <v>14.875189616561112</v>
      </c>
      <c r="P8" s="38">
        <f>(O8*N8)</f>
        <v>3.6598445881587489</v>
      </c>
    </row>
    <row r="9" spans="2:16">
      <c r="C9" s="38"/>
      <c r="D9" s="38"/>
      <c r="F9" t="s">
        <v>9</v>
      </c>
      <c r="G9" s="38">
        <f>(D10/B10)</f>
        <v>6.7550860554880492</v>
      </c>
      <c r="N9" s="24">
        <f>($B$10/5)</f>
        <v>0.24603683599999998</v>
      </c>
      <c r="O9" s="38">
        <f>($C$5*Params!K11)</f>
        <v>27.045799302838383</v>
      </c>
      <c r="P9" s="38">
        <f>(O9*N9)</f>
        <v>6.6542628875613605</v>
      </c>
    </row>
    <row r="10" spans="2:16">
      <c r="B10">
        <f>(SUM(B5:B9))</f>
        <v>1.23018418</v>
      </c>
      <c r="C10" s="38"/>
      <c r="D10" s="38">
        <f>(SUM(D5:D9))</f>
        <v>8.31</v>
      </c>
      <c r="O10" s="38"/>
      <c r="P10" s="38"/>
    </row>
    <row r="11" spans="2:16">
      <c r="O11" s="38"/>
      <c r="P11" s="38">
        <f>(SUM(P6:P9))</f>
        <v>15.138448069202097</v>
      </c>
    </row>
  </sheetData>
  <conditionalFormatting sqref="O6:O9">
    <cfRule type="cellIs" dxfId="127" priority="5" operator="lessThan">
      <formula>$J$3</formula>
    </cfRule>
    <cfRule type="cellIs" dxfId="126" priority="6" operator="greaterThan">
      <formula>$J$3</formula>
    </cfRule>
  </conditionalFormatting>
  <conditionalFormatting sqref="C5">
    <cfRule type="cellIs" dxfId="125" priority="3" operator="lessThan">
      <formula>$J$3</formula>
    </cfRule>
    <cfRule type="cellIs" dxfId="124" priority="4" operator="greaterThan">
      <formula>$J$3</formula>
    </cfRule>
  </conditionalFormatting>
  <conditionalFormatting sqref="G9">
    <cfRule type="cellIs" dxfId="123" priority="1" operator="lessThan">
      <formula>$J$3</formula>
    </cfRule>
    <cfRule type="cellIs" dxfId="122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4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94.569546042866065</v>
      </c>
      <c r="M3" t="s">
        <v>4</v>
      </c>
      <c r="N3" s="24">
        <f>(INDEX(N5:N14,MATCH(MAX(O6),O5:O14,0))/0.9)</f>
        <v>3.4726666666666663E-2</v>
      </c>
      <c r="O3" s="39">
        <f>(MAX(O6)*0.85)</f>
        <v>77.56409154028286</v>
      </c>
      <c r="P3" s="38">
        <f>(O3*N3)</f>
        <v>2.6935423522222224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12.156249374206292</v>
      </c>
      <c r="K4" s="4">
        <f>(J4/D14-1)</f>
        <v>0.67767783113098501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5.5939E-4</v>
      </c>
      <c r="C6" s="40">
        <v>0</v>
      </c>
      <c r="D6" s="26">
        <f>(B6*C6)</f>
        <v>0</v>
      </c>
      <c r="E6" s="38">
        <f>(B6*J3)</f>
        <v>5.290125836091885E-2</v>
      </c>
      <c r="M6" t="s">
        <v>11</v>
      </c>
      <c r="N6" s="51">
        <f>-B10</f>
        <v>3.1253999999999997E-2</v>
      </c>
      <c r="O6" s="38">
        <f>P6/N6</f>
        <v>91.251872400332772</v>
      </c>
      <c r="P6" s="38">
        <f>-D10</f>
        <v>2.85198602</v>
      </c>
      <c r="R6" s="2">
        <f>(B6)</f>
        <v>5.5939E-4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2" si="0">(D7/B7)</f>
        <v>68.808808808808806</v>
      </c>
      <c r="D7" s="38">
        <v>9.9672999999999998</v>
      </c>
      <c r="N7" s="51">
        <f>(SUM(R$5:R$8)/5)</f>
        <v>3.1959392000000003E-2</v>
      </c>
      <c r="O7" s="38">
        <f>($C$7*Params!K9)</f>
        <v>110.09409409409409</v>
      </c>
      <c r="P7" s="38">
        <f>(O7*N7)</f>
        <v>3.5185403100380381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3.1959392000000003E-2</v>
      </c>
      <c r="O8" s="38">
        <f>($C$7*Params!K10)</f>
        <v>151.37937937937937</v>
      </c>
      <c r="P8" s="38">
        <f>(O8*N8)</f>
        <v>4.8379929263023023</v>
      </c>
      <c r="R8" s="1">
        <f>(B8+B9)+B11+B12</f>
        <v>6.7759000000000014E-3</v>
      </c>
      <c r="S8" s="38">
        <v>0</v>
      </c>
      <c r="T8" s="38">
        <f>(D8+D9)+D11+D12</f>
        <v>-0.36943569000000043</v>
      </c>
      <c r="U8" s="39">
        <f>R8*J3-T8</f>
        <v>1.0102294770318567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3.1959392000000003E-2</v>
      </c>
      <c r="O9" s="38">
        <f>($C$7*Params!K11)</f>
        <v>275.23523523523522</v>
      </c>
      <c r="P9" s="38">
        <f>(O9*N9)</f>
        <v>8.796350775095096</v>
      </c>
      <c r="R9" s="1">
        <f>B10</f>
        <v>-3.1253999999999997E-2</v>
      </c>
      <c r="S9" s="38">
        <f>T9/R9</f>
        <v>91.251872400332772</v>
      </c>
      <c r="T9" s="38">
        <f>D10</f>
        <v>-2.85198602</v>
      </c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20.004870031435438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F13" t="s">
        <v>9</v>
      </c>
      <c r="G13" s="38">
        <f>(D14/B14)</f>
        <v>56.369312562897257</v>
      </c>
    </row>
    <row r="14" spans="2:21">
      <c r="B14" s="1">
        <f>(SUM(B5:B13))</f>
        <v>0.12854296000000001</v>
      </c>
      <c r="D14" s="38">
        <f>(SUM(D5:D13))</f>
        <v>7.2458782900000003</v>
      </c>
    </row>
    <row r="20" spans="18:20">
      <c r="R20">
        <f>(SUM(R5:R19))</f>
        <v>0.12854296000000001</v>
      </c>
      <c r="T20" s="38">
        <f>(SUM(T5:T19))</f>
        <v>7.2458782899999985</v>
      </c>
    </row>
    <row r="34" spans="9:9">
      <c r="I34" s="39"/>
    </row>
  </sheetData>
  <conditionalFormatting sqref="C5 C7 O7:O9 S5 S7">
    <cfRule type="cellIs" dxfId="121" priority="21" operator="lessThan">
      <formula>$J$3</formula>
    </cfRule>
    <cfRule type="cellIs" dxfId="120" priority="22" operator="greaterThan">
      <formula>$J$3</formula>
    </cfRule>
  </conditionalFormatting>
  <conditionalFormatting sqref="C9">
    <cfRule type="cellIs" dxfId="119" priority="9" operator="lessThan">
      <formula>$J$3</formula>
    </cfRule>
    <cfRule type="cellIs" dxfId="118" priority="10" operator="greaterThan">
      <formula>$J$3</formula>
    </cfRule>
  </conditionalFormatting>
  <conditionalFormatting sqref="O3">
    <cfRule type="cellIs" dxfId="117" priority="7" operator="greaterThan">
      <formula>$J$3</formula>
    </cfRule>
    <cfRule type="cellIs" dxfId="116" priority="8" operator="lessThan">
      <formula>$J$3</formula>
    </cfRule>
  </conditionalFormatting>
  <conditionalFormatting sqref="C12">
    <cfRule type="cellIs" dxfId="115" priority="5" operator="lessThan">
      <formula>$J$3</formula>
    </cfRule>
    <cfRule type="cellIs" dxfId="114" priority="6" operator="greaterThan">
      <formula>$J$3</formula>
    </cfRule>
  </conditionalFormatting>
  <conditionalFormatting sqref="O7">
    <cfRule type="cellIs" dxfId="113" priority="3" operator="lessThan">
      <formula>$J$3</formula>
    </cfRule>
    <cfRule type="cellIs" dxfId="112" priority="4" operator="greaterThan">
      <formula>$J$3</formula>
    </cfRule>
  </conditionalFormatting>
  <conditionalFormatting sqref="G13">
    <cfRule type="cellIs" dxfId="111" priority="1" operator="lessThan">
      <formula>$J$3</formula>
    </cfRule>
    <cfRule type="cellIs" dxfId="110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6"/>
  <sheetViews>
    <sheetView workbookViewId="0">
      <selection activeCell="B6" sqref="B6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0.60529266488605005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(B16*J3)</f>
        <v>1.3633914448638038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4.4011389999999997E-2</v>
      </c>
      <c r="C6" s="40">
        <v>0</v>
      </c>
      <c r="D6" s="26">
        <f>(B6*C6)</f>
        <v>0</v>
      </c>
      <c r="E6" s="38">
        <f>(B6*J3)</f>
        <v>2.6639771538439251E-2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4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6" spans="2:10">
      <c r="B16">
        <f>(SUM(B5:B15))</f>
        <v>2.2524499700000007</v>
      </c>
      <c r="D16" s="38">
        <f>(SUM(D5:D15))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9" sqref="B19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8.181082137529626E-5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27.794707342141418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4588.9106714899999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4588.9106714899999</v>
      </c>
      <c r="C18" s="40">
        <v>0</v>
      </c>
      <c r="D18" s="26">
        <f>(B18*C18)</f>
        <v>0</v>
      </c>
      <c r="E18" s="38">
        <f>(B18*J3)</f>
        <v>0.37542255125245921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5.0798110752517811</v>
      </c>
    </row>
    <row r="37" spans="2:20">
      <c r="B37">
        <f>(SUM(B5:B36))</f>
        <v>339743.65340542048</v>
      </c>
      <c r="D37" s="38">
        <f>(SUM(D5:D36))</f>
        <v>-21.780357561799917</v>
      </c>
      <c r="F37" t="s">
        <v>9</v>
      </c>
      <c r="G37" s="28">
        <f>(D37/B37)</f>
        <v>-6.4108210244649181E-5</v>
      </c>
      <c r="R37">
        <f>(SUM(R5:R36))</f>
        <v>339743.65340542048</v>
      </c>
      <c r="T37">
        <f>(SUM(T5:T36))</f>
        <v>-21.78035756179991</v>
      </c>
    </row>
  </sheetData>
  <conditionalFormatting sqref="C5:C9 C14:C16 C25:C26 C28 C30 C32 C35">
    <cfRule type="cellIs" dxfId="109" priority="13" operator="lessThan">
      <formula>$J$3</formula>
    </cfRule>
    <cfRule type="cellIs" dxfId="108" priority="14" operator="greaterThan">
      <formula>$J$3</formula>
    </cfRule>
  </conditionalFormatting>
  <conditionalFormatting sqref="N6">
    <cfRule type="cellIs" dxfId="107" priority="9" operator="lessThan">
      <formula>$J$3</formula>
    </cfRule>
    <cfRule type="cellIs" dxfId="106" priority="10" operator="greaterThan">
      <formula>$J$3</formula>
    </cfRule>
  </conditionalFormatting>
  <conditionalFormatting sqref="N9">
    <cfRule type="cellIs" dxfId="105" priority="5" operator="lessThan">
      <formula>$J$3</formula>
    </cfRule>
    <cfRule type="cellIs" dxfId="104" priority="6" operator="greaterThan">
      <formula>$J$3</formula>
    </cfRule>
  </conditionalFormatting>
  <conditionalFormatting sqref="S5:S9 S13">
    <cfRule type="cellIs" dxfId="103" priority="3" operator="lessThan">
      <formula>$J$3</formula>
    </cfRule>
    <cfRule type="cellIs" dxfId="102" priority="4" operator="greaterThan">
      <formula>$J$3</formula>
    </cfRule>
  </conditionalFormatting>
  <conditionalFormatting sqref="G37"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0.71165725619769959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34.450022628705632</v>
      </c>
      <c r="K4" s="4">
        <f>(J4/D18-1)</f>
        <v>-0.21286480197611291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0.26908745000000001</v>
      </c>
      <c r="C6" s="40">
        <v>0</v>
      </c>
      <c r="D6" s="26">
        <f>(B6*C6)</f>
        <v>0</v>
      </c>
      <c r="E6" s="38">
        <f>(B6*J3)</f>
        <v>0.19149803634423568</v>
      </c>
      <c r="M6" t="s">
        <v>11</v>
      </c>
      <c r="N6" s="19">
        <f>($B$7+$R$9)/5</f>
        <v>6.953119935777778</v>
      </c>
      <c r="O6" s="38">
        <f>($S$7*Params!K8)</f>
        <v>1.2758280221418403</v>
      </c>
      <c r="P6" s="38">
        <f>(O6*N6)</f>
        <v>8.870985255378363</v>
      </c>
      <c r="R6" s="36">
        <f>(B6)</f>
        <v>0.26908745000000001</v>
      </c>
      <c r="S6" s="40">
        <v>0</v>
      </c>
      <c r="T6" s="26">
        <f>(D6)</f>
        <v>0</v>
      </c>
      <c r="U6" s="38">
        <f>(R6*J3)</f>
        <v>0.19149803634423568</v>
      </c>
    </row>
    <row r="7" spans="2:21">
      <c r="B7" s="19">
        <v>34.134694680000003</v>
      </c>
      <c r="C7" s="38">
        <f t="shared" ref="C7:C14" si="0">(D7/B7)</f>
        <v>0.9814061708783387</v>
      </c>
      <c r="D7" s="38">
        <v>33.5</v>
      </c>
      <c r="E7" t="s">
        <v>15</v>
      </c>
      <c r="N7" s="19">
        <f>($B$7+$R$9)/5</f>
        <v>6.953119935777778</v>
      </c>
      <c r="O7" s="38">
        <f>($S$7*Params!K9)</f>
        <v>1.5702498734053421</v>
      </c>
      <c r="P7" s="38">
        <f>(O7*N7)</f>
        <v>10.918135698927216</v>
      </c>
      <c r="R7" s="19">
        <f>B7</f>
        <v>34.134694680000003</v>
      </c>
      <c r="S7" s="38">
        <f>(T7/R7)</f>
        <v>0.9814061708783387</v>
      </c>
      <c r="T7" s="38">
        <f>D7</f>
        <v>33.5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6.953119935777778</v>
      </c>
      <c r="O8" s="38">
        <f>($S$7*Params!K10)</f>
        <v>2.1590935759323453</v>
      </c>
      <c r="P8" s="38">
        <f>(O8*N8)</f>
        <v>15.012436586024922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6.953119935777778</v>
      </c>
      <c r="O9" s="38">
        <f>($C$7*Params!K11)</f>
        <v>3.9256246835133548</v>
      </c>
      <c r="P9" s="38">
        <f>(O9*N9)</f>
        <v>27.295339247318037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62.096896787648546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0.90411057463104705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48.408166049999998</v>
      </c>
      <c r="S17" s="38"/>
      <c r="T17" s="38">
        <f>(SUM(T5:T12))</f>
        <v>43.766334824300642</v>
      </c>
    </row>
    <row r="18" spans="2:20">
      <c r="B18" s="19">
        <f>(SUM(B5:B17))</f>
        <v>48.408166049999998</v>
      </c>
      <c r="D18" s="38">
        <f>(SUM(D5:D17))</f>
        <v>43.766334824300642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99" priority="23" operator="lessThan">
      <formula>$J$3</formula>
    </cfRule>
    <cfRule type="cellIs" dxfId="98" priority="24" operator="greaterThan">
      <formula>$J$3</formula>
    </cfRule>
  </conditionalFormatting>
  <conditionalFormatting sqref="S8">
    <cfRule type="cellIs" dxfId="97" priority="1" operator="lessThan">
      <formula>$J$3</formula>
    </cfRule>
    <cfRule type="cellIs" dxfId="96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T41" sqref="T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0.44675658543396463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24.331351953184445</v>
      </c>
      <c r="K4" s="4">
        <f>(J4/D10-1)</f>
        <v>-0.38541672257680115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2.2103057000000002</v>
      </c>
      <c r="C6" s="40">
        <v>0</v>
      </c>
      <c r="D6" s="26">
        <f>(B6*C6)</f>
        <v>0</v>
      </c>
      <c r="E6" s="38">
        <f>(B6*J3)</f>
        <v>0.98746862729722906</v>
      </c>
      <c r="M6" t="s">
        <v>11</v>
      </c>
      <c r="N6" s="29">
        <f>($B$10/5)</f>
        <v>10.892442438</v>
      </c>
      <c r="O6" s="38">
        <f>($C$5*Params!K8)</f>
        <v>0.98505771545924514</v>
      </c>
      <c r="P6" s="38">
        <f>(O6*N6)</f>
        <v>10.72968446374761</v>
      </c>
    </row>
    <row r="7" spans="2:16">
      <c r="B7" s="36">
        <v>4.2064900000000002E-3</v>
      </c>
      <c r="C7" s="40">
        <v>0</v>
      </c>
      <c r="D7" s="26">
        <f>(B7*C7)</f>
        <v>0</v>
      </c>
      <c r="E7" s="38">
        <f>(B7*J4)</f>
        <v>0.10234958867755084</v>
      </c>
      <c r="N7" s="29">
        <f>($B$10/5)</f>
        <v>10.892442438</v>
      </c>
      <c r="O7" s="38">
        <f>($C$5*Params!K9)</f>
        <v>1.2123787267190709</v>
      </c>
      <c r="P7" s="38">
        <f>(O7*N7)</f>
        <v>13.205765493843211</v>
      </c>
    </row>
    <row r="8" spans="2:16">
      <c r="N8" s="29">
        <f>($B$10/5)</f>
        <v>10.892442438</v>
      </c>
      <c r="O8" s="38">
        <f>($C$5*Params!K10)</f>
        <v>1.6670207492387226</v>
      </c>
      <c r="P8" s="38">
        <f>(O8*N8)</f>
        <v>18.157927554034419</v>
      </c>
    </row>
    <row r="9" spans="2:16">
      <c r="F9" t="s">
        <v>9</v>
      </c>
      <c r="G9" s="38">
        <f>(D10/B10)</f>
        <v>0.72692603564989344</v>
      </c>
      <c r="N9" s="29">
        <f>($B$10/5)</f>
        <v>10.892442438</v>
      </c>
      <c r="O9" s="38">
        <f>($C$5*Params!K11)</f>
        <v>3.0309468167976772</v>
      </c>
      <c r="P9" s="38">
        <f>(O9*N9)</f>
        <v>33.014413734608027</v>
      </c>
    </row>
    <row r="10" spans="2:16">
      <c r="B10" s="29">
        <f>(SUM(B5:B9))</f>
        <v>54.462212190000002</v>
      </c>
      <c r="D10" s="38">
        <f>(SUM(D5:D9))</f>
        <v>39.590000000000003</v>
      </c>
    </row>
    <row r="11" spans="2:16">
      <c r="P11" s="38">
        <f>(SUM(P6:P9))</f>
        <v>75.107791246233262</v>
      </c>
    </row>
  </sheetData>
  <conditionalFormatting sqref="C5">
    <cfRule type="cellIs" dxfId="95" priority="5" operator="lessThan">
      <formula>$J$3</formula>
    </cfRule>
    <cfRule type="cellIs" dxfId="94" priority="6" operator="greaterThan">
      <formula>$J$3</formula>
    </cfRule>
  </conditionalFormatting>
  <conditionalFormatting sqref="O6:O9">
    <cfRule type="cellIs" dxfId="93" priority="3" operator="lessThan">
      <formula>$J$3</formula>
    </cfRule>
    <cfRule type="cellIs" dxfId="92" priority="4" operator="greaterThan">
      <formula>$J$3</formula>
    </cfRule>
  </conditionalFormatting>
  <conditionalFormatting sqref="G9">
    <cfRule type="cellIs" dxfId="91" priority="1" operator="lessThan">
      <formula>$J$3</formula>
    </cfRule>
    <cfRule type="cellIs" dxfId="90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8" sqref="B8:D1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1.4122919589728371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28.685249026014041</v>
      </c>
      <c r="K4" s="4">
        <f>(J4/D19-1)</f>
        <v>-0.20756953829818736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18.206789530000002</v>
      </c>
      <c r="C6" s="38">
        <f>(D6/B6)</f>
        <v>1.8399729367333437</v>
      </c>
      <c r="D6" s="38">
        <v>33.5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18.206789530000002</v>
      </c>
      <c r="S6" s="38">
        <f>(T6/R6)</f>
        <v>1.8399729367333437</v>
      </c>
      <c r="T6" s="38">
        <f>D6</f>
        <v>33.5</v>
      </c>
      <c r="U6" s="38" t="str">
        <f>(E6)</f>
        <v>DCA2</v>
      </c>
    </row>
    <row r="7" spans="2:22">
      <c r="B7" s="2">
        <v>5.7221729999999998E-2</v>
      </c>
      <c r="C7" s="40">
        <v>0</v>
      </c>
      <c r="D7" s="26">
        <v>0</v>
      </c>
      <c r="E7" s="39">
        <f>B7*J3</f>
        <v>8.0813789157514762E-2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5.7221729999999998E-2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0.3266316837267248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0.33742436463858871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3.6685209599999999</v>
      </c>
      <c r="O14" s="38">
        <f>($C$6*Params!K8)</f>
        <v>2.391964817753347</v>
      </c>
      <c r="P14" s="38">
        <f>(O14*N14)</f>
        <v>8.7749730695107342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3.6685209599999999</v>
      </c>
      <c r="O15" s="38">
        <f>($C$6*Params!K9)</f>
        <v>2.9439566987733503</v>
      </c>
      <c r="P15" s="38">
        <f>(O15*N15)</f>
        <v>10.799966854782442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3.6685209599999999</v>
      </c>
      <c r="O16" s="38">
        <f>($C$6*Params!K10)</f>
        <v>4.0479404608133569</v>
      </c>
      <c r="P16" s="38">
        <f>(O16*N16)</f>
        <v>14.849954425325858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3.6685209599999999</v>
      </c>
      <c r="O17" s="38">
        <f>($C$6*Params!K11)</f>
        <v>7.3598917469333749</v>
      </c>
      <c r="P17" s="38">
        <f>(O17*N17)</f>
        <v>26.9999171369561</v>
      </c>
      <c r="S17" s="38"/>
      <c r="T17" s="38"/>
    </row>
    <row r="18" spans="2:20">
      <c r="C18" s="38"/>
      <c r="D18" s="38"/>
      <c r="F18" t="s">
        <v>9</v>
      </c>
      <c r="G18" s="38">
        <f>(D19/B19)</f>
        <v>1.7822282550065258</v>
      </c>
      <c r="O18" s="38"/>
      <c r="P18" s="38"/>
      <c r="S18" s="38"/>
      <c r="T18" s="38"/>
    </row>
    <row r="19" spans="2:20">
      <c r="B19" s="1">
        <f>(SUM(B5:B18))</f>
        <v>20.311132442385979</v>
      </c>
      <c r="C19" s="38"/>
      <c r="D19" s="38">
        <f>(SUM(D5:D18))</f>
        <v>36.19907413</v>
      </c>
      <c r="O19" s="38"/>
      <c r="P19" s="38">
        <f>(SUM(P14:P17))</f>
        <v>61.424811486575138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20.311132442385983</v>
      </c>
      <c r="S22" s="38"/>
      <c r="T22" s="38">
        <f>(SUM(T5:T21))</f>
        <v>36.19907413</v>
      </c>
    </row>
  </sheetData>
  <conditionalFormatting sqref="C5:C6 C12:C14 C16:C17 O6:O9 O14:O17 S5:S6">
    <cfRule type="cellIs" dxfId="89" priority="17" operator="lessThan">
      <formula>$J$3</formula>
    </cfRule>
    <cfRule type="cellIs" dxfId="88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8.4811643106764682E-6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3.7295083813398739</v>
      </c>
      <c r="K4" s="4">
        <f>(J4/D13-1)</f>
        <v>-0.25854704148312646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208.46</v>
      </c>
      <c r="C6" s="40">
        <v>0</v>
      </c>
      <c r="D6" s="26">
        <f>(B6*C6)</f>
        <v>0</v>
      </c>
      <c r="E6" s="38">
        <f>(B6*J3)</f>
        <v>1.7679835122036166E-3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1.1438573699458048E-5</v>
      </c>
    </row>
    <row r="13" spans="2:16">
      <c r="B13">
        <f>(SUM(B5:B12))</f>
        <v>439740.14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87" priority="5" operator="lessThan">
      <formula>$J$3</formula>
    </cfRule>
    <cfRule type="cellIs" dxfId="86" priority="6" operator="greaterThan">
      <formula>$J$3</formula>
    </cfRule>
  </conditionalFormatting>
  <conditionalFormatting sqref="J3">
    <cfRule type="cellIs" dxfId="85" priority="3" operator="lessThan">
      <formula>$J$3</formula>
    </cfRule>
    <cfRule type="cellIs" dxfId="84" priority="4" operator="greaterThan">
      <formula>$J$3</formula>
    </cfRule>
  </conditionalFormatting>
  <conditionalFormatting sqref="O6:O9">
    <cfRule type="cellIs" dxfId="83" priority="1" operator="lessThan">
      <formula>$J$3</formula>
    </cfRule>
    <cfRule type="cellIs" dxfId="82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0"/>
  <sheetViews>
    <sheetView workbookViewId="0">
      <selection activeCell="V20" sqref="V20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24.978517367156609</v>
      </c>
      <c r="M3" t="s">
        <v>4</v>
      </c>
      <c r="N3" s="24">
        <f>(INDEX(N5:N26,MATCH(MAX(O6:O7,O23,O14),O5:O26,0))/0.9)</f>
        <v>0.11333333333333333</v>
      </c>
      <c r="O3" s="39">
        <f>(MAX(O14,O23,O6:O7)*0.85)</f>
        <v>18.797183333333333</v>
      </c>
      <c r="P3" s="38">
        <f>(O3*N3)</f>
        <v>2.1303474444444443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(B36*J3)</f>
        <v>196.08290053339806</v>
      </c>
      <c r="K4" s="4">
        <f>(J4/D36-1)</f>
        <v>-6.1871572135946407E-3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-B29</f>
        <v>0.10199999999999999</v>
      </c>
      <c r="O7" s="38">
        <f>P7/N7</f>
        <v>22.114333333333335</v>
      </c>
      <c r="P7" s="38">
        <f>-D29</f>
        <v>2.2556620000000001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0.106217334</v>
      </c>
      <c r="O8" s="38">
        <f>($C$16*Params!K10)</f>
        <v>28.255152590055655</v>
      </c>
      <c r="P8" s="38">
        <f>(O8*N8)</f>
        <v>3.0011869798789066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0.106217334</v>
      </c>
      <c r="O9" s="38">
        <f>($C$16*Params!K11)</f>
        <v>51.373004709192095</v>
      </c>
      <c r="P9" s="38">
        <f>(O9*N9)</f>
        <v>5.4567035997798294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12.306157645605122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5.2454886471028875E-2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5.4492316000000001</v>
      </c>
      <c r="S13" s="38">
        <f>(T13/R13)</f>
        <v>19.44450791924498</v>
      </c>
      <c r="T13" s="38">
        <f>(D17+11.97*B21)</f>
        <v>105.95762699999999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0.15389297021977885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3.2331110000000003E-2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1.3183111939003343E-2</v>
      </c>
      <c r="N15" s="24">
        <f>(2*($R$13+N14+$R$21)/5-N14)</f>
        <v>2.029181688</v>
      </c>
      <c r="O15" s="38">
        <f>($S$13*Params!K9)</f>
        <v>31.111212670791971</v>
      </c>
      <c r="P15" s="38">
        <f>(O15*N15)</f>
        <v>63.130303043044641</v>
      </c>
      <c r="R15" s="24">
        <f>B19+B22</f>
        <v>1.6369799700000001</v>
      </c>
      <c r="S15" s="38">
        <f>(T15/R15)</f>
        <v>19.914633408739878</v>
      </c>
      <c r="T15" s="38">
        <f>(D19+12.6*B22)</f>
        <v>32.599856000000003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(($R$13+N14+$R$21)/5)</f>
        <v>1.155040844</v>
      </c>
      <c r="O16" s="38">
        <f>($S$13*Params!K10)</f>
        <v>42.777917422338959</v>
      </c>
      <c r="P16" s="38">
        <f>(O16*N16)</f>
        <v>49.410241844060693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5.7301316</v>
      </c>
      <c r="C17" s="38">
        <f>(D17/B17)</f>
        <v>19.078095867815669</v>
      </c>
      <c r="D17" s="38">
        <v>109.32</v>
      </c>
      <c r="E17" t="s">
        <v>10</v>
      </c>
      <c r="N17" s="24">
        <f>(($R$13+N14+$R$21)/5)</f>
        <v>1.155040844</v>
      </c>
      <c r="O17" s="38">
        <f>($S$13*Params!K11)</f>
        <v>77.778031676979921</v>
      </c>
      <c r="P17" s="38">
        <f>(O17*N17)</f>
        <v>89.83680335283762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3.2331110000000003E-2</v>
      </c>
      <c r="C18" s="40">
        <v>0</v>
      </c>
      <c r="D18" s="26">
        <v>0</v>
      </c>
      <c r="E18" s="39">
        <f>B18*J3</f>
        <v>0.80758319263445077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1.70841997</v>
      </c>
      <c r="C19" s="38">
        <f t="shared" ref="C19:C32" si="1">(D19/B19)</f>
        <v>19.60876165595278</v>
      </c>
      <c r="D19" s="38">
        <v>33.5</v>
      </c>
      <c r="E19" t="s">
        <v>15</v>
      </c>
      <c r="O19" s="38"/>
      <c r="P19" s="38">
        <f>(SUM(P14:P17))</f>
        <v>206.57954823994294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(B28+B25+B33+B34)</f>
        <v>2.6283669999999995E-2</v>
      </c>
      <c r="S20" s="38">
        <v>0</v>
      </c>
      <c r="T20" s="38">
        <f>(D28+D25+D33+D34)</f>
        <v>-0.2870919999999999</v>
      </c>
      <c r="U20" t="s">
        <v>86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/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B29</f>
        <v>-0.10199999999999999</v>
      </c>
      <c r="S22" s="39">
        <f>T22/R22</f>
        <v>22.114333333333335</v>
      </c>
      <c r="T22" s="39">
        <f>D29</f>
        <v>-2.2556620000000001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/>
      <c r="S23" s="39"/>
      <c r="T23" s="38"/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(2*($R$15+$N$23+$R$19)/5-$N$23)</f>
        <v>0.6144817600000001</v>
      </c>
      <c r="O24" s="38">
        <f>($S$15*Params!K9)</f>
        <v>31.863413453983807</v>
      </c>
      <c r="P24" s="38">
        <f>(O24*N24)</f>
        <v>19.579486378811652</v>
      </c>
      <c r="S24" s="38"/>
      <c r="T24" s="38"/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($R$15+$N$23+$R$19)/5</f>
        <v>0.34296088000000002</v>
      </c>
      <c r="O25" s="38">
        <f>($S$15*Params!K10)</f>
        <v>43.812193499227732</v>
      </c>
      <c r="P25" s="38">
        <f>(O25*N25)</f>
        <v>15.025868437225423</v>
      </c>
      <c r="S25" s="38"/>
      <c r="T25" s="38"/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0.34296088000000002</v>
      </c>
      <c r="O26" s="38">
        <f>($S$15*Params!K11)</f>
        <v>79.658533634959511</v>
      </c>
      <c r="P26" s="38">
        <f>(O26*N26)</f>
        <v>27.319760794955315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63.088219130992385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>D34/B34</f>
        <v>23.38403859622824</v>
      </c>
      <c r="D34" s="38">
        <v>2.68</v>
      </c>
      <c r="E34" s="38"/>
      <c r="S34" s="38"/>
      <c r="T34" s="38"/>
    </row>
    <row r="35" spans="2:23">
      <c r="C35" s="38"/>
      <c r="D35" s="38"/>
      <c r="E35" s="38"/>
      <c r="S35" s="38"/>
      <c r="T35" s="38"/>
    </row>
    <row r="36" spans="2:23">
      <c r="B36" s="24">
        <f>(SUM(B5:B35))</f>
        <v>7.850061621</v>
      </c>
      <c r="C36" s="38"/>
      <c r="D36" s="38">
        <f>(SUM(D5:D35))</f>
        <v>197.30364922999999</v>
      </c>
      <c r="E36" s="38"/>
      <c r="F36" t="s">
        <v>9</v>
      </c>
      <c r="G36" s="38">
        <f>(D36/B36)</f>
        <v>25.134025534549366</v>
      </c>
      <c r="S36" s="38"/>
      <c r="T36" s="38"/>
    </row>
    <row r="37" spans="2:23">
      <c r="K37">
        <v>21</v>
      </c>
      <c r="M37" s="24"/>
      <c r="S37" s="38"/>
      <c r="T37" s="38"/>
    </row>
    <row r="38" spans="2:23">
      <c r="R38" s="24">
        <f>(SUM(R5:R37))</f>
        <v>7.850061621</v>
      </c>
      <c r="S38" s="38"/>
      <c r="T38" s="38">
        <f>(SUM(T5:T37))</f>
        <v>197.30128966999999</v>
      </c>
      <c r="V38" t="s">
        <v>9</v>
      </c>
      <c r="W38" s="38">
        <f>(T38/R38)</f>
        <v>25.133724956017129</v>
      </c>
    </row>
    <row r="40" spans="2:23">
      <c r="N40" s="24"/>
    </row>
  </sheetData>
  <conditionalFormatting sqref="C5 C8:C10 S5">
    <cfRule type="cellIs" dxfId="81" priority="85" operator="lessThan">
      <formula>$J$3</formula>
    </cfRule>
    <cfRule type="cellIs" dxfId="80" priority="86" operator="greaterThan">
      <formula>$J$3</formula>
    </cfRule>
  </conditionalFormatting>
  <conditionalFormatting sqref="C16:C17">
    <cfRule type="cellIs" dxfId="79" priority="69" operator="lessThan">
      <formula>$J$3</formula>
    </cfRule>
    <cfRule type="cellIs" dxfId="78" priority="70" operator="greaterThan">
      <formula>$J$3</formula>
    </cfRule>
    <cfRule type="cellIs" dxfId="77" priority="71" operator="lessThan">
      <formula>$J$3</formula>
    </cfRule>
    <cfRule type="cellIs" dxfId="76" priority="72" operator="greaterThan">
      <formula>$J$3</formula>
    </cfRule>
    <cfRule type="cellIs" dxfId="75" priority="79" operator="lessThan">
      <formula>$J$3</formula>
    </cfRule>
    <cfRule type="cellIs" dxfId="74" priority="80" operator="greaterThan">
      <formula>$J$3</formula>
    </cfRule>
  </conditionalFormatting>
  <conditionalFormatting sqref="C19:C20 G36">
    <cfRule type="cellIs" dxfId="73" priority="63" operator="lessThan">
      <formula>$J$3</formula>
    </cfRule>
    <cfRule type="cellIs" dxfId="72" priority="64" operator="greaterThan">
      <formula>$J$3</formula>
    </cfRule>
    <cfRule type="cellIs" dxfId="71" priority="65" operator="lessThan">
      <formula>$J$3</formula>
    </cfRule>
    <cfRule type="cellIs" dxfId="70" priority="66" operator="greaterThan">
      <formula>$J$3</formula>
    </cfRule>
    <cfRule type="cellIs" dxfId="69" priority="67" operator="lessThan">
      <formula>$J$3</formula>
    </cfRule>
    <cfRule type="cellIs" dxfId="68" priority="68" operator="greaterThan">
      <formula>$J$3</formula>
    </cfRule>
    <cfRule type="cellIs" dxfId="67" priority="77" operator="lessThan">
      <formula>$J$3</formula>
    </cfRule>
    <cfRule type="cellIs" dxfId="66" priority="78" operator="greaterThan">
      <formula>$J$3</formula>
    </cfRule>
  </conditionalFormatting>
  <conditionalFormatting sqref="C27:C28 C30:C31">
    <cfRule type="cellIs" dxfId="65" priority="55" operator="lessThan">
      <formula>$J$3</formula>
    </cfRule>
    <cfRule type="cellIs" dxfId="64" priority="56" operator="greaterThan">
      <formula>$J$3</formula>
    </cfRule>
    <cfRule type="cellIs" dxfId="63" priority="57" operator="lessThan">
      <formula>$J$3</formula>
    </cfRule>
    <cfRule type="cellIs" dxfId="62" priority="58" operator="greaterThan">
      <formula>$J$3</formula>
    </cfRule>
    <cfRule type="cellIs" dxfId="61" priority="59" operator="lessThan">
      <formula>$J$3</formula>
    </cfRule>
    <cfRule type="cellIs" dxfId="60" priority="60" operator="greaterThan">
      <formula>$J$3</formula>
    </cfRule>
    <cfRule type="cellIs" dxfId="59" priority="61" operator="lessThan">
      <formula>$J$3</formula>
    </cfRule>
    <cfRule type="cellIs" dxfId="58" priority="62" operator="greaterThan">
      <formula>$J$3</formula>
    </cfRule>
    <cfRule type="cellIs" dxfId="57" priority="75" operator="lessThan">
      <formula>$J$3</formula>
    </cfRule>
    <cfRule type="cellIs" dxfId="56" priority="76" operator="greaterThan">
      <formula>$J$3</formula>
    </cfRule>
  </conditionalFormatting>
  <conditionalFormatting sqref="O8:O9 O15:O17 O24:O26 S12:S13 S15:S16">
    <cfRule type="cellIs" dxfId="55" priority="49" operator="lessThan">
      <formula>$J$3</formula>
    </cfRule>
    <cfRule type="cellIs" dxfId="54" priority="50" operator="greaterThan">
      <formula>$J$3</formula>
    </cfRule>
    <cfRule type="cellIs" dxfId="53" priority="51" operator="lessThan">
      <formula>$J$3</formula>
    </cfRule>
    <cfRule type="cellIs" dxfId="52" priority="52" operator="greaterThan">
      <formula>$J$3</formula>
    </cfRule>
  </conditionalFormatting>
  <conditionalFormatting sqref="O3">
    <cfRule type="cellIs" dxfId="51" priority="31" operator="greaterThan">
      <formula>$J$3</formula>
    </cfRule>
    <cfRule type="cellIs" dxfId="50" priority="32" operator="lessThan">
      <formula>$J$3</formula>
    </cfRule>
  </conditionalFormatting>
  <conditionalFormatting sqref="W38">
    <cfRule type="cellIs" dxfId="49" priority="1" operator="lessThan">
      <formula>$J$3</formula>
    </cfRule>
    <cfRule type="cellIs" dxfId="48" priority="2" operator="greaterThan">
      <formula>$J$3</formula>
    </cfRule>
    <cfRule type="cellIs" dxfId="47" priority="3" operator="lessThan">
      <formula>$J$3</formula>
    </cfRule>
    <cfRule type="cellIs" dxfId="46" priority="4" operator="greaterThan">
      <formula>$J$3</formula>
    </cfRule>
    <cfRule type="cellIs" dxfId="45" priority="5" operator="lessThan">
      <formula>$J$3</formula>
    </cfRule>
    <cfRule type="cellIs" dxfId="44" priority="6" operator="greaterThan">
      <formula>$J$3</formula>
    </cfRule>
    <cfRule type="cellIs" dxfId="43" priority="7" operator="lessThan">
      <formula>$J$3</formula>
    </cfRule>
    <cfRule type="cellIs" dxfId="42" priority="8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8.2179879855103152E-2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0.76135711339583989</v>
      </c>
      <c r="K4" s="4">
        <f>(J4/D13-1)</f>
        <v>0.52271422679167978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0.1632613</v>
      </c>
      <c r="C6" s="40">
        <v>0</v>
      </c>
      <c r="D6" s="26">
        <f>(B6*C6)</f>
        <v>0</v>
      </c>
      <c r="E6" s="38">
        <f>(B6*J3)</f>
        <v>1.3416794018987953E-2</v>
      </c>
      <c r="G6" s="38"/>
      <c r="M6" t="s">
        <v>11</v>
      </c>
      <c r="N6" s="19">
        <f>($B$13/5)</f>
        <v>1.852903934</v>
      </c>
      <c r="O6" s="35">
        <f>($C$5*Params!K8)</f>
        <v>7.1418695478700056E-2</v>
      </c>
      <c r="P6" s="38">
        <f>(O6*N6)</f>
        <v>0.13233198181363134</v>
      </c>
      <c r="Q6" s="38">
        <f>N6*$J$3</f>
        <v>0.15227142267916799</v>
      </c>
    </row>
    <row r="7" spans="2:17">
      <c r="C7" s="38"/>
      <c r="D7" s="38"/>
      <c r="E7" s="38"/>
      <c r="G7" s="38"/>
      <c r="N7" s="19">
        <f>($B$13/5)</f>
        <v>1.852903934</v>
      </c>
      <c r="O7" s="35">
        <f>($C$5*Params!K9)</f>
        <v>8.7899932896861599E-2</v>
      </c>
      <c r="P7" s="38">
        <f>(O7*N7)</f>
        <v>0.16287013146293086</v>
      </c>
      <c r="Q7" s="38"/>
    </row>
    <row r="8" spans="2:17">
      <c r="C8" s="38"/>
      <c r="D8" s="38"/>
      <c r="E8" s="38"/>
      <c r="G8" s="38"/>
      <c r="N8" s="19">
        <f>($B$13/5)</f>
        <v>1.852903934</v>
      </c>
      <c r="O8" s="35">
        <f>($C$5*Params!K10)</f>
        <v>0.12086240773318471</v>
      </c>
      <c r="P8" s="38">
        <f>(O8*N8)</f>
        <v>0.22394643076152998</v>
      </c>
      <c r="Q8" s="38"/>
    </row>
    <row r="9" spans="2:17">
      <c r="C9" s="38"/>
      <c r="D9" s="38"/>
      <c r="E9" s="38"/>
      <c r="G9" s="38"/>
      <c r="N9" s="19">
        <f>($B$13/5)</f>
        <v>1.852903934</v>
      </c>
      <c r="O9" s="35">
        <f>($C$5*Params!K11)</f>
        <v>0.219749832242154</v>
      </c>
      <c r="P9" s="38">
        <f>(O9*N9)</f>
        <v>0.4071753286573272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0.92632387269541938</v>
      </c>
    </row>
    <row r="12" spans="2:17">
      <c r="C12" s="38"/>
      <c r="D12" s="38"/>
      <c r="E12" s="38"/>
      <c r="F12" t="s">
        <v>9</v>
      </c>
      <c r="G12" s="38">
        <f>(D13/B13)</f>
        <v>5.3969338703989171E-2</v>
      </c>
    </row>
    <row r="13" spans="2:17">
      <c r="B13">
        <f>(SUM(B5:B12))</f>
        <v>9.2645196700000003</v>
      </c>
      <c r="C13" s="38"/>
      <c r="D13" s="38">
        <f>(SUM(D5:D12))</f>
        <v>0.5</v>
      </c>
      <c r="E13" s="38"/>
      <c r="G13" s="38"/>
    </row>
  </sheetData>
  <conditionalFormatting sqref="C5">
    <cfRule type="cellIs" dxfId="41" priority="7" operator="lessThan">
      <formula>$J$3</formula>
    </cfRule>
    <cfRule type="cellIs" dxfId="40" priority="8" operator="greaterThan">
      <formula>$J$3</formula>
    </cfRule>
  </conditionalFormatting>
  <conditionalFormatting sqref="O6:O9">
    <cfRule type="cellIs" dxfId="39" priority="5" operator="lessThan">
      <formula>$J$3</formula>
    </cfRule>
    <cfRule type="cellIs" dxfId="38" priority="6" operator="greaterThan">
      <formula>$J$3</formula>
    </cfRule>
    <cfRule type="cellIs" dxfId="37" priority="1" operator="lessThan">
      <formula>$J$3</formula>
    </cfRule>
    <cfRule type="cellIs" dxfId="36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6.3952516273448481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10.793478557776444</v>
      </c>
      <c r="K4" s="4">
        <f>(J4/D10-1)</f>
        <v>0.13139188236650368</v>
      </c>
      <c r="O4" s="38"/>
      <c r="P4" s="38"/>
    </row>
    <row r="5" spans="2:16">
      <c r="B5" s="1">
        <v>1.68618443</v>
      </c>
      <c r="C5" s="38">
        <f>(D5/B5)</f>
        <v>5.6577440938652241</v>
      </c>
      <c r="D5" s="38">
        <v>9.5399999999999991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1.54878E-3</v>
      </c>
      <c r="C6" s="40">
        <v>0</v>
      </c>
      <c r="D6" s="40">
        <f>(B6*C6)</f>
        <v>0</v>
      </c>
      <c r="E6" s="38">
        <f>(B6*J3)</f>
        <v>9.9048378153991541E-3</v>
      </c>
      <c r="G6" s="38"/>
      <c r="H6" s="38"/>
      <c r="J6" s="38"/>
      <c r="M6" t="s">
        <v>11</v>
      </c>
      <c r="N6" s="1">
        <f>($B$5/5)</f>
        <v>0.33723688600000001</v>
      </c>
      <c r="O6" s="35">
        <f>($C$5*Params!K8)</f>
        <v>7.3550673220247917</v>
      </c>
      <c r="P6" s="38">
        <f>(O6*N6)</f>
        <v>2.4803999999999999</v>
      </c>
    </row>
    <row r="7" spans="2:16">
      <c r="C7" s="38"/>
      <c r="D7" s="38"/>
      <c r="E7" s="38"/>
      <c r="G7" s="38"/>
      <c r="H7" s="38"/>
      <c r="J7" s="38"/>
      <c r="N7" s="1">
        <f>($B$5/5)</f>
        <v>0.33723688600000001</v>
      </c>
      <c r="O7" s="35">
        <f>($C$5*Params!K9)</f>
        <v>9.0523905501843593</v>
      </c>
      <c r="P7" s="38">
        <f>(O7*N7)</f>
        <v>3.0528000000000004</v>
      </c>
    </row>
    <row r="8" spans="2:16">
      <c r="C8" s="38"/>
      <c r="D8" s="38"/>
      <c r="E8" s="38"/>
      <c r="G8" s="38"/>
      <c r="H8" s="38"/>
      <c r="J8" s="38"/>
      <c r="N8" s="1">
        <f>($B$5/5)</f>
        <v>0.33723688600000001</v>
      </c>
      <c r="O8" s="35">
        <f>($C$5*Params!K10)</f>
        <v>12.447037006503495</v>
      </c>
      <c r="P8" s="38">
        <f>(O8*N8)</f>
        <v>4.1976000000000004</v>
      </c>
    </row>
    <row r="9" spans="2:16">
      <c r="C9" s="38"/>
      <c r="D9" s="38"/>
      <c r="E9" s="38"/>
      <c r="F9" t="s">
        <v>9</v>
      </c>
      <c r="G9" s="38">
        <f>(D10/B10)</f>
        <v>5.6525521589991108</v>
      </c>
      <c r="H9" s="38"/>
      <c r="J9" s="38"/>
      <c r="N9" s="1">
        <f>($B$5/5)</f>
        <v>0.33723688600000001</v>
      </c>
      <c r="O9" s="35">
        <f>($C$5*Params!K11)</f>
        <v>22.630976375460897</v>
      </c>
      <c r="P9" s="38">
        <f>(O9*N9)</f>
        <v>7.6319999999999997</v>
      </c>
    </row>
    <row r="10" spans="2:16">
      <c r="B10" s="1">
        <f>(SUM(B5:B9))</f>
        <v>1.68773321</v>
      </c>
      <c r="C10" s="38"/>
      <c r="D10" s="38">
        <f>(SUM(D5:D9))</f>
        <v>9.5399999999999991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17.3628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35" priority="5" operator="lessThan">
      <formula>$J$3</formula>
    </cfRule>
    <cfRule type="cellIs" dxfId="34" priority="6" operator="greaterThan">
      <formula>$J$3</formula>
    </cfRule>
  </conditionalFormatting>
  <conditionalFormatting sqref="O6:O9">
    <cfRule type="cellIs" dxfId="33" priority="3" operator="lessThan">
      <formula>$J$3</formula>
    </cfRule>
    <cfRule type="cellIs" dxfId="32" priority="4" operator="greaterThan">
      <formula>$J$3</formula>
    </cfRule>
  </conditionalFormatting>
  <conditionalFormatting sqref="G9">
    <cfRule type="cellIs" dxfId="31" priority="1" operator="lessThan">
      <formula>$J$3</formula>
    </cfRule>
    <cfRule type="cellIs" dxfId="30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4"/>
  <sheetViews>
    <sheetView tabSelected="1" workbookViewId="0">
      <selection activeCell="N9" sqref="N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0.72731999143594128</v>
      </c>
      <c r="M3" t="s">
        <v>4</v>
      </c>
      <c r="N3" s="19">
        <f>(INDEX(N5:N13,MATCH(MAX(O6:O8),O5:O13,0))/0.9)</f>
        <v>12.033324204444444</v>
      </c>
      <c r="O3" s="39">
        <f>(MAX(O6:O8)*0.85)</f>
        <v>0.66743653481043641</v>
      </c>
      <c r="P3" s="38">
        <f>(O3*N3)</f>
        <v>8.0314802092649504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(B13*J3)</f>
        <v>15.760994336111604</v>
      </c>
      <c r="K4" s="4">
        <f>(J4/D13-1)</f>
        <v>-6.6771434811457473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54.149958920000003</v>
      </c>
      <c r="S5" s="38">
        <f>(T5/R5)</f>
        <v>0.35272418263913985</v>
      </c>
      <c r="T5" s="38">
        <f>(SUM(D5:D7))</f>
        <v>19.100000000000001</v>
      </c>
    </row>
    <row r="6" spans="2:20">
      <c r="B6" s="20">
        <v>0.57494745000000003</v>
      </c>
      <c r="C6" s="40">
        <v>0</v>
      </c>
      <c r="D6" s="40">
        <f>(B6*C6)</f>
        <v>0</v>
      </c>
      <c r="E6" s="38">
        <f>(B6*J3)</f>
        <v>0.4181707744101163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f>(2*SUM(B$5:B$7)/5-N6)</f>
        <v>10.899983568000001</v>
      </c>
      <c r="O7" s="38">
        <f>($C$5*Params!K9)</f>
        <v>0.57106869288593487</v>
      </c>
      <c r="P7" s="38">
        <f>(O7*N7)</f>
        <v>6.2246393686559296</v>
      </c>
      <c r="Q7" t="s">
        <v>12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(SUM(B$5:B$7)/5)</f>
        <v>10.829991784000001</v>
      </c>
      <c r="O8" s="38">
        <f>($C$5*Params!K10)</f>
        <v>0.78521945271816052</v>
      </c>
      <c r="P8" s="38">
        <f>(O8*N8)</f>
        <v>8.5039202215746545</v>
      </c>
      <c r="Q8" t="s">
        <v>12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(SUM(B$5:B$7)/5)</f>
        <v>10.829991784000001</v>
      </c>
      <c r="O9" s="38">
        <f>($C$5*Params!K11)</f>
        <v>1.4276717322148371</v>
      </c>
      <c r="P9" s="38">
        <f>(O9*N9)</f>
        <v>15.461673130135734</v>
      </c>
    </row>
    <row r="11" spans="2:20">
      <c r="P11" s="38">
        <f>(SUM(P6:P9))</f>
        <v>35.242930080366321</v>
      </c>
    </row>
    <row r="12" spans="2:20">
      <c r="F12" t="s">
        <v>9</v>
      </c>
      <c r="G12" s="38">
        <f>(D13/B13)</f>
        <v>-0.12811372371535612</v>
      </c>
    </row>
    <row r="13" spans="2:20">
      <c r="B13">
        <f>(SUM(B5:B12))</f>
        <v>21.669958920000006</v>
      </c>
      <c r="D13" s="38">
        <f>(SUM(D5:D12))</f>
        <v>-2.7762191299999976</v>
      </c>
    </row>
    <row r="17" spans="14:20">
      <c r="R17">
        <f>(SUM(R5:R16))</f>
        <v>43.389958920000005</v>
      </c>
      <c r="T17" s="38">
        <f>(SUM(T5:T16))</f>
        <v>14.047302640000002</v>
      </c>
    </row>
    <row r="24" spans="14:20">
      <c r="N24" s="19"/>
    </row>
  </sheetData>
  <conditionalFormatting sqref="C5 C7 G12 O9 S5">
    <cfRule type="cellIs" dxfId="29" priority="11" operator="lessThan">
      <formula>$J$3</formula>
    </cfRule>
    <cfRule type="cellIs" dxfId="28" priority="12" operator="greaterThan">
      <formula>$J$3</formula>
    </cfRule>
  </conditionalFormatting>
  <conditionalFormatting sqref="O3">
    <cfRule type="cellIs" dxfId="27" priority="5" operator="greaterThan">
      <formula>$J$3</formula>
    </cfRule>
    <cfRule type="cellIs" dxfId="26" priority="6" operator="less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5"/>
  <sheetViews>
    <sheetView workbookViewId="0">
      <selection activeCell="J14" sqref="J1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0.11177538965444619</v>
      </c>
      <c r="M3" t="s">
        <v>4</v>
      </c>
      <c r="N3" s="29">
        <f>(INDEX(N5:N26,MATCH(MAX(O6:O7),O5:O26,0))/0.9)</f>
        <v>14.114724477777777</v>
      </c>
      <c r="O3" s="37">
        <f>(MAX(O6:O7)*0.85)</f>
        <v>8.1449836432159653E-2</v>
      </c>
      <c r="P3" s="38">
        <f>(O3*N3)</f>
        <v>1.1496420000000001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(B11*J3)</f>
        <v>4.5699353216448584</v>
      </c>
      <c r="K4" s="4">
        <f>(J4/D11-1)</f>
        <v>1.700406261275897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8">
        <f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8">
        <f>(D6/B6)</f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8">
        <f>(D7/B7)</f>
        <v>9.5823336979011353E-2</v>
      </c>
      <c r="D7" s="38">
        <v>-1.217268</v>
      </c>
      <c r="N7" s="29">
        <f>(-B7)</f>
        <v>12.70325203</v>
      </c>
      <c r="O7" s="38">
        <f>(C7)</f>
        <v>9.5823336979011353E-2</v>
      </c>
      <c r="P7" s="38">
        <f>(O7*N7)</f>
        <v>1.217268</v>
      </c>
      <c r="Q7" t="s">
        <v>12</v>
      </c>
      <c r="R7" s="24">
        <f>B7</f>
        <v>-12.70325203</v>
      </c>
      <c r="S7" s="38">
        <f>(C7)</f>
        <v>9.5823336979011353E-2</v>
      </c>
      <c r="T7" s="38">
        <f>D7</f>
        <v>-1.217268</v>
      </c>
    </row>
    <row r="8" spans="2:20">
      <c r="B8" s="19">
        <v>-12.62063846</v>
      </c>
      <c r="C8" s="38">
        <f>(D8/B8)</f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8">
        <f>(D9/B9)</f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C10" s="38"/>
      <c r="D10" s="38"/>
      <c r="F10" t="s">
        <v>9</v>
      </c>
      <c r="G10" s="38">
        <f>(D11/B11)</f>
        <v>4.1392064319105151E-2</v>
      </c>
      <c r="O10" s="38"/>
      <c r="P10" s="38"/>
      <c r="R10" s="24"/>
      <c r="S10" s="38"/>
      <c r="T10" s="38"/>
    </row>
    <row r="11" spans="2:20">
      <c r="B11" s="19">
        <f>(SUM(B5:B10))</f>
        <v>40.884986720000001</v>
      </c>
      <c r="C11" s="38"/>
      <c r="D11" s="38">
        <f>(SUM(D5:D10))</f>
        <v>1.6923139999999999</v>
      </c>
      <c r="O11" s="38"/>
      <c r="P11" s="38">
        <f>(SUM(P6:P9))</f>
        <v>7.3496122565703388</v>
      </c>
      <c r="R11" s="24"/>
      <c r="S11" s="38"/>
      <c r="T11" s="38"/>
    </row>
    <row r="12" spans="2:20"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  <c r="V21" s="39"/>
    </row>
    <row r="23" spans="18:22">
      <c r="S23" s="38"/>
      <c r="T23" s="38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R35" s="24">
        <f>(SUM(R5:R34))</f>
        <v>40.884986720000001</v>
      </c>
      <c r="S35" s="38"/>
      <c r="T35" s="38">
        <f>(SUM(T5:T34))</f>
        <v>1.6923139999999999</v>
      </c>
      <c r="V35" t="s">
        <v>9</v>
      </c>
      <c r="W35" s="38">
        <f>(T35/R35)</f>
        <v>4.1392064319105151E-2</v>
      </c>
    </row>
  </sheetData>
  <conditionalFormatting sqref="C5 G10">
    <cfRule type="cellIs" dxfId="25" priority="23" operator="lessThan">
      <formula>$J$3</formula>
    </cfRule>
    <cfRule type="cellIs" dxfId="24" priority="24" operator="greaterThan">
      <formula>$J$3</formula>
    </cfRule>
  </conditionalFormatting>
  <conditionalFormatting sqref="O8:O9">
    <cfRule type="cellIs" dxfId="23" priority="19" operator="lessThan">
      <formula>$J$3</formula>
    </cfRule>
    <cfRule type="cellIs" dxfId="22" priority="20" operator="greaterThan">
      <formula>$J$3</formula>
    </cfRule>
  </conditionalFormatting>
  <conditionalFormatting sqref="O3">
    <cfRule type="cellIs" dxfId="21" priority="17" operator="greaterThan">
      <formula>$J$3</formula>
    </cfRule>
    <cfRule type="cellIs" dxfId="20" priority="18" operator="lessThan">
      <formula>$J$3</formula>
    </cfRule>
  </conditionalFormatting>
  <conditionalFormatting sqref="C9">
    <cfRule type="cellIs" dxfId="19" priority="15" operator="lessThan">
      <formula>$J$3</formula>
    </cfRule>
    <cfRule type="cellIs" dxfId="18" priority="16" operator="greaterThan">
      <formula>$J$3</formula>
    </cfRule>
  </conditionalFormatting>
  <conditionalFormatting sqref="S5 S8">
    <cfRule type="cellIs" dxfId="17" priority="13" operator="lessThan">
      <formula>$J$3</formula>
    </cfRule>
    <cfRule type="cellIs" dxfId="16" priority="14" operator="greaterThan">
      <formula>$J$3</formula>
    </cfRule>
  </conditionalFormatting>
  <conditionalFormatting sqref="W35">
    <cfRule type="cellIs" dxfId="15" priority="1" operator="lessThan">
      <formula>$J$3</formula>
    </cfRule>
    <cfRule type="cellIs" dxfId="14" priority="2" operator="greaterThan">
      <formula>$J$3</formula>
    </cfRule>
    <cfRule type="cellIs" dxfId="13" priority="3" operator="lessThan">
      <formula>$J$3</formula>
    </cfRule>
    <cfRule type="cellIs" dxfId="12" priority="4" operator="greaterThan">
      <formula>$J$3</formula>
    </cfRule>
    <cfRule type="cellIs" dxfId="11" priority="5" operator="lessThan">
      <formula>$J$3</formula>
    </cfRule>
    <cfRule type="cellIs" dxfId="10" priority="6" operator="greaterThan">
      <formula>$J$3</formula>
    </cfRule>
    <cfRule type="cellIs" dxfId="9" priority="7" operator="lessThan">
      <formula>$J$3</formula>
    </cfRule>
    <cfRule type="cellIs" dxfId="8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0.88666042456837357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2.5928779261133617</v>
      </c>
      <c r="K4" s="4">
        <f>(J4/D10-1)</f>
        <v>-0.13570735796221278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7" priority="5" operator="lessThan">
      <formula>$J$3</formula>
    </cfRule>
    <cfRule type="cellIs" dxfId="6" priority="6" operator="greaterThan">
      <formula>$J$3</formula>
    </cfRule>
  </conditionalFormatting>
  <conditionalFormatting sqref="G9"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6:O9"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2.800889527754695E-3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1.6788531829361641</v>
      </c>
      <c r="K4" s="4">
        <f>(J4/D10-1)</f>
        <v>-0.44038227235461191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1" priority="5" operator="lessThan">
      <formula>$J$3</formula>
    </cfRule>
    <cfRule type="cellIs" dxfId="0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9.9317689618136196E-2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0.60422896009881699</v>
      </c>
      <c r="K4" s="4">
        <f>(J4/D9-1)</f>
        <v>-0.97906890595710372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39" priority="9" operator="lessThan">
      <formula>$J$3</formula>
    </cfRule>
    <cfRule type="cellIs" dxfId="238" priority="10" operator="greaterThan">
      <formula>$J$3</formula>
    </cfRule>
  </conditionalFormatting>
  <conditionalFormatting sqref="O11:O14">
    <cfRule type="cellIs" dxfId="237" priority="7" operator="lessThan">
      <formula>$J$3</formula>
    </cfRule>
    <cfRule type="cellIs" dxfId="236" priority="8" operator="greaterThan">
      <formula>$J$3</formula>
    </cfRule>
  </conditionalFormatting>
  <conditionalFormatting sqref="O20:O23">
    <cfRule type="cellIs" dxfId="235" priority="5" operator="lessThan">
      <formula>$J$3</formula>
    </cfRule>
    <cfRule type="cellIs" dxfId="234" priority="6" operator="greaterThan">
      <formula>$J$3</formula>
    </cfRule>
  </conditionalFormatting>
  <conditionalFormatting sqref="O29:O32">
    <cfRule type="cellIs" dxfId="233" priority="3" operator="lessThan">
      <formula>$J$3</formula>
    </cfRule>
    <cfRule type="cellIs" dxfId="232" priority="4" operator="greaterThan">
      <formula>$J$3</formula>
    </cfRule>
  </conditionalFormatting>
  <conditionalFormatting sqref="N6">
    <cfRule type="cellIs" dxfId="231" priority="1" operator="lessThan">
      <formula>$J$3</formula>
    </cfRule>
    <cfRule type="cellIs" dxfId="230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topLeftCell="A10" workbookViewId="0">
      <selection activeCell="O46" sqref="O4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590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1.496607703380938E-3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0.85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5.7486816728396377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-46.353999999999935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-263.20531832716028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-183.81531832716027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590</v>
      </c>
      <c r="E34">
        <f t="shared" ref="E34:E40" si="1">C34*D34</f>
        <v>3689.8599999999997</v>
      </c>
      <c r="F34" s="29">
        <f t="shared" ref="F34:F40" si="2">E34*$N$5</f>
        <v>3136.3809999999999</v>
      </c>
      <c r="G34" s="38">
        <v>3.5</v>
      </c>
      <c r="H34" s="30">
        <f>G50</f>
        <v>1.5615590400000001</v>
      </c>
      <c r="I34" s="39">
        <f t="shared" ref="I34:I41" si="3">((F34-H34*D34)*$J$3-G34)</f>
        <v>-0.18492239490579454</v>
      </c>
      <c r="J34">
        <v>1</v>
      </c>
      <c r="K34" s="44">
        <f t="shared" ref="K34:K40" si="4">I34*J34</f>
        <v>-0.18492239490579454</v>
      </c>
      <c r="L34" s="31">
        <v>26</v>
      </c>
      <c r="M34" s="31">
        <f t="shared" ref="M34:M40" si="5">L34*J34</f>
        <v>26</v>
      </c>
    </row>
    <row r="35" spans="2:16">
      <c r="B35" s="8" t="s">
        <v>42</v>
      </c>
      <c r="C35">
        <v>0.96599999999999997</v>
      </c>
      <c r="D35">
        <f>$H$2</f>
        <v>590</v>
      </c>
      <c r="E35">
        <f t="shared" si="1"/>
        <v>569.93999999999994</v>
      </c>
      <c r="F35" s="29">
        <f t="shared" si="2"/>
        <v>484.44899999999996</v>
      </c>
      <c r="G35" s="38">
        <v>3.5</v>
      </c>
      <c r="H35" s="30">
        <f>G51</f>
        <v>0.21337130135885166</v>
      </c>
      <c r="I35" s="39">
        <f t="shared" si="3"/>
        <v>-2.9633764433483112</v>
      </c>
      <c r="J35">
        <v>1</v>
      </c>
      <c r="K35" s="44">
        <f t="shared" si="4"/>
        <v>-2.9633764433483112</v>
      </c>
      <c r="L35" s="31">
        <v>3</v>
      </c>
      <c r="M35" s="31">
        <f t="shared" si="5"/>
        <v>3</v>
      </c>
    </row>
    <row r="36" spans="2:16">
      <c r="B36" s="8" t="s">
        <v>44</v>
      </c>
      <c r="C36">
        <v>0.85099999999999998</v>
      </c>
      <c r="D36">
        <f>$H$2</f>
        <v>590</v>
      </c>
      <c r="E36">
        <f t="shared" si="1"/>
        <v>502.09</v>
      </c>
      <c r="F36" s="29">
        <f t="shared" si="2"/>
        <v>426.77649999999994</v>
      </c>
      <c r="G36" s="38">
        <v>3.5</v>
      </c>
      <c r="H36" s="30">
        <f>G52</f>
        <v>0.18479602162162162</v>
      </c>
      <c r="I36" s="39">
        <f t="shared" si="3"/>
        <v>-3.0244576206907561</v>
      </c>
      <c r="J36">
        <v>1</v>
      </c>
      <c r="K36" s="44">
        <f t="shared" si="4"/>
        <v>-3.0244576206907561</v>
      </c>
      <c r="L36" s="31">
        <v>2.77</v>
      </c>
      <c r="M36" s="31">
        <f t="shared" si="5"/>
        <v>2.77</v>
      </c>
    </row>
    <row r="37" spans="2:16">
      <c r="B37" s="8" t="s">
        <v>44</v>
      </c>
      <c r="C37">
        <v>0.85099999999999998</v>
      </c>
      <c r="D37">
        <f>$H$2-34</f>
        <v>556</v>
      </c>
      <c r="E37">
        <f t="shared" si="1"/>
        <v>473.15600000000001</v>
      </c>
      <c r="F37" s="29">
        <f t="shared" si="2"/>
        <v>402.18259999999998</v>
      </c>
      <c r="G37" s="38">
        <v>0</v>
      </c>
      <c r="H37" s="30">
        <f>G52</f>
        <v>0.18479602162162162</v>
      </c>
      <c r="I37" s="39">
        <f t="shared" si="3"/>
        <v>0.44813824219650789</v>
      </c>
      <c r="J37">
        <v>3</v>
      </c>
      <c r="K37" s="44">
        <f t="shared" si="4"/>
        <v>1.3444147265895237</v>
      </c>
      <c r="L37" s="31">
        <f>L36</f>
        <v>2.77</v>
      </c>
      <c r="M37" s="31">
        <f t="shared" si="5"/>
        <v>8.31</v>
      </c>
    </row>
    <row r="38" spans="2:16">
      <c r="B38" s="8" t="s">
        <v>44</v>
      </c>
      <c r="C38">
        <v>0.85099999999999998</v>
      </c>
      <c r="D38">
        <f>$H$2-34-58</f>
        <v>498</v>
      </c>
      <c r="E38">
        <f t="shared" si="1"/>
        <v>423.798</v>
      </c>
      <c r="F38" s="29">
        <f t="shared" si="2"/>
        <v>360.22829999999999</v>
      </c>
      <c r="G38" s="38">
        <v>0</v>
      </c>
      <c r="H38" s="30">
        <f>H37</f>
        <v>0.18479602162162162</v>
      </c>
      <c r="I38" s="39">
        <f t="shared" si="3"/>
        <v>0.40139000829831101</v>
      </c>
      <c r="J38">
        <v>1</v>
      </c>
      <c r="K38" s="44">
        <f t="shared" si="4"/>
        <v>0.40139000829831101</v>
      </c>
      <c r="L38" s="31">
        <f>L37</f>
        <v>2.77</v>
      </c>
      <c r="M38" s="31">
        <f t="shared" si="5"/>
        <v>2.77</v>
      </c>
    </row>
    <row r="39" spans="2:16">
      <c r="B39" s="8" t="s">
        <v>44</v>
      </c>
      <c r="C39">
        <v>0.85099999999999998</v>
      </c>
      <c r="D39">
        <f>$H$2-140</f>
        <v>450</v>
      </c>
      <c r="E39">
        <f t="shared" si="1"/>
        <v>382.95</v>
      </c>
      <c r="F39" s="29">
        <f t="shared" si="2"/>
        <v>325.50749999999999</v>
      </c>
      <c r="G39" s="38">
        <v>0</v>
      </c>
      <c r="H39" s="30">
        <f>H38</f>
        <v>0.18479602162162162</v>
      </c>
      <c r="I39" s="39">
        <f t="shared" si="3"/>
        <v>0.36270181472738949</v>
      </c>
      <c r="J39">
        <v>1</v>
      </c>
      <c r="K39" s="44">
        <f t="shared" si="4"/>
        <v>0.36270181472738949</v>
      </c>
      <c r="L39" s="31">
        <f>L38</f>
        <v>2.77</v>
      </c>
      <c r="M39" s="31">
        <f t="shared" si="5"/>
        <v>2.77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57.477000000000004</v>
      </c>
      <c r="G40" s="45">
        <v>0</v>
      </c>
      <c r="H40" s="32">
        <f>H35</f>
        <v>0.21337130135885166</v>
      </c>
      <c r="I40" s="45">
        <f t="shared" si="3"/>
        <v>6.3667201636641066E-2</v>
      </c>
      <c r="J40" s="16">
        <v>1</v>
      </c>
      <c r="K40" s="46">
        <f t="shared" si="4"/>
        <v>6.3667201636641066E-2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316</v>
      </c>
      <c r="E41">
        <f>(C41*D41)</f>
        <v>268.916</v>
      </c>
      <c r="F41" s="29">
        <f>(E41*$N$5)</f>
        <v>228.57859999999999</v>
      </c>
      <c r="G41" s="38">
        <v>0</v>
      </c>
      <c r="H41" s="29">
        <f>(H37)</f>
        <v>0.18479602162162162</v>
      </c>
      <c r="I41" s="39">
        <f t="shared" si="3"/>
        <v>0.25469727434190015</v>
      </c>
      <c r="J41">
        <v>1</v>
      </c>
      <c r="K41" s="44">
        <f>(I41*J41)</f>
        <v>0.25469727434190015</v>
      </c>
      <c r="L41" s="31">
        <f>(L39)</f>
        <v>2.77</v>
      </c>
      <c r="M41" s="31">
        <f>(L41*J41)</f>
        <v>2.77</v>
      </c>
    </row>
    <row r="42" spans="2:16">
      <c r="B42" s="8" t="s">
        <v>46</v>
      </c>
      <c r="H42" s="21"/>
      <c r="J42">
        <v>2</v>
      </c>
      <c r="K42" s="44"/>
      <c r="L42" s="31">
        <v>14.78</v>
      </c>
      <c r="M42" s="31">
        <f>L42*J42</f>
        <v>29.56</v>
      </c>
    </row>
    <row r="43" spans="2:16">
      <c r="B43" s="8" t="s">
        <v>65</v>
      </c>
      <c r="J43">
        <v>1</v>
      </c>
      <c r="K43" s="9"/>
      <c r="L43" s="31">
        <v>0.2</v>
      </c>
      <c r="M43" s="31">
        <f>(L43*J43)</f>
        <v>0.2</v>
      </c>
    </row>
    <row r="44" spans="2:16">
      <c r="B44" s="8" t="s">
        <v>66</v>
      </c>
      <c r="J44">
        <v>1</v>
      </c>
      <c r="K44" s="9"/>
      <c r="L44" s="31">
        <v>0.18</v>
      </c>
      <c r="M44" s="31">
        <f>(L44*J44)</f>
        <v>0.18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1.06</v>
      </c>
      <c r="M45" s="31">
        <f>(L45*J45)</f>
        <v>1.06</v>
      </c>
    </row>
    <row r="46" spans="2:16">
      <c r="L46" t="s">
        <v>34</v>
      </c>
      <c r="M46" s="31">
        <f>(SUM(M33:M45))</f>
        <v>79.390000000000015</v>
      </c>
      <c r="O46" s="31">
        <f>(J13+SUM(G34:G40)-D74)</f>
        <v>0.94232967283963909</v>
      </c>
      <c r="P46">
        <f>(O46/J3)</f>
        <v>629.64374078180447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29" priority="17" operator="lessThan">
      <formula>$C$5</formula>
    </cfRule>
    <cfRule type="cellIs" dxfId="228" priority="18" operator="greaterThan">
      <formula>$C$5</formula>
    </cfRule>
  </conditionalFormatting>
  <conditionalFormatting sqref="L35">
    <cfRule type="cellIs" dxfId="227" priority="15" operator="lessThan">
      <formula>$C$6</formula>
    </cfRule>
    <cfRule type="cellIs" dxfId="226" priority="16" operator="greaterThan">
      <formula>$C$6</formula>
    </cfRule>
  </conditionalFormatting>
  <conditionalFormatting sqref="L39">
    <cfRule type="cellIs" dxfId="225" priority="13" operator="lessThan">
      <formula>$C$20</formula>
    </cfRule>
    <cfRule type="cellIs" dxfId="224" priority="14" operator="greaterThan">
      <formula>$C$20</formula>
    </cfRule>
  </conditionalFormatting>
  <conditionalFormatting sqref="L38">
    <cfRule type="cellIs" dxfId="223" priority="11" operator="lessThan">
      <formula>$C$19</formula>
    </cfRule>
    <cfRule type="cellIs" dxfId="222" priority="12" operator="greaterThan">
      <formula>$C$19</formula>
    </cfRule>
  </conditionalFormatting>
  <conditionalFormatting sqref="L37">
    <cfRule type="cellIs" dxfId="221" priority="9" operator="lessThan">
      <formula>$C$17</formula>
    </cfRule>
    <cfRule type="cellIs" dxfId="220" priority="10" operator="greaterThan">
      <formula>$C$17</formula>
    </cfRule>
  </conditionalFormatting>
  <conditionalFormatting sqref="L36">
    <cfRule type="cellIs" dxfId="219" priority="7" operator="lessThan">
      <formula>$C$7</formula>
    </cfRule>
    <cfRule type="cellIs" dxfId="218" priority="8" operator="greaterThan">
      <formula>$C$7</formula>
    </cfRule>
  </conditionalFormatting>
  <conditionalFormatting sqref="L41">
    <cfRule type="cellIs" dxfId="217" priority="5" operator="lessThan">
      <formula>$C$20</formula>
    </cfRule>
    <cfRule type="cellIs" dxfId="216" priority="6" operator="greaterThan">
      <formula>$C$20</formula>
    </cfRule>
  </conditionalFormatting>
  <conditionalFormatting sqref="L42">
    <cfRule type="cellIs" dxfId="215" priority="3" operator="lessThan">
      <formula>$C$27</formula>
    </cfRule>
    <cfRule type="cellIs" dxfId="214" priority="4" operator="greaterThan">
      <formula>$C$27</formula>
    </cfRule>
  </conditionalFormatting>
  <conditionalFormatting sqref="L43:L45">
    <cfRule type="cellIs" dxfId="213" priority="1" operator="lessThan">
      <formula>$C$7</formula>
    </cfRule>
    <cfRule type="cellIs" dxfId="212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(-68/3)</f>
        <v>-22.666666666666668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J4" sqref="J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0.31571404775088813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31.462353326012821</v>
      </c>
      <c r="K4" s="4">
        <f>(J4/D13-1)</f>
        <v>-7.43654175627112E-2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0.49604268000000001</v>
      </c>
      <c r="C6" s="40">
        <v>0</v>
      </c>
      <c r="D6" s="40">
        <f>(B6*C6)</f>
        <v>0</v>
      </c>
      <c r="E6" s="38">
        <f>(B6*J3)</f>
        <v>0.15660764235999852</v>
      </c>
      <c r="M6" t="s">
        <v>11</v>
      </c>
      <c r="N6" s="1">
        <f>($B$13/5)</f>
        <v>19.930917581999999</v>
      </c>
      <c r="O6" s="38">
        <f>($S$7*Params!K8)</f>
        <v>0.45120576879540708</v>
      </c>
      <c r="P6" s="38">
        <f>(O6*N6)</f>
        <v>8.9929449903842062</v>
      </c>
      <c r="R6" s="2">
        <f>(B6)</f>
        <v>0.49604268000000001</v>
      </c>
      <c r="S6" s="40">
        <v>0</v>
      </c>
      <c r="T6" s="40">
        <f>(D6)</f>
        <v>0</v>
      </c>
      <c r="U6" s="38">
        <f>(R6*J3)</f>
        <v>0.15660764235999852</v>
      </c>
    </row>
    <row r="7" spans="2:21">
      <c r="B7" s="1">
        <v>96.519156030000005</v>
      </c>
      <c r="C7" s="38">
        <f>(D7/B7)</f>
        <v>0.34708136061185157</v>
      </c>
      <c r="D7" s="38">
        <v>33.5</v>
      </c>
      <c r="E7" t="s">
        <v>15</v>
      </c>
      <c r="N7" s="1">
        <f>($B$13/5)</f>
        <v>19.930917581999999</v>
      </c>
      <c r="O7" s="38">
        <f>($S$7*Params!K9)</f>
        <v>0.55533017697896259</v>
      </c>
      <c r="P7" s="38">
        <f>(O7*N7)</f>
        <v>11.068239988165177</v>
      </c>
      <c r="R7" s="29">
        <f>B7</f>
        <v>96.519156030000005</v>
      </c>
      <c r="S7" s="38">
        <f>(T7/R7)</f>
        <v>0.34708136061185157</v>
      </c>
      <c r="T7" s="38">
        <f>D7</f>
        <v>33.5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19.930917581999999</v>
      </c>
      <c r="O8" s="38">
        <f>($C$7*Params!K10)</f>
        <v>0.76357899334607349</v>
      </c>
      <c r="P8" s="38">
        <f>(O8*N8)</f>
        <v>15.218829983727117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19.930917581999999</v>
      </c>
      <c r="O9" s="38">
        <f>($C$7*Params!K11)</f>
        <v>1.3883254424474063</v>
      </c>
      <c r="P9" s="38">
        <f>(O9*N9)</f>
        <v>27.670599970412937</v>
      </c>
    </row>
    <row r="10" spans="2:21">
      <c r="N10" s="1"/>
      <c r="P10" s="38"/>
    </row>
    <row r="11" spans="2:21">
      <c r="P11" s="38">
        <f>(SUM(P6:P9))</f>
        <v>62.95061493268944</v>
      </c>
    </row>
    <row r="12" spans="2:21">
      <c r="F12" t="s">
        <v>9</v>
      </c>
      <c r="G12" s="35">
        <f>(D13/B13)</f>
        <v>0.34107849224861647</v>
      </c>
    </row>
    <row r="13" spans="2:21">
      <c r="B13" s="1">
        <f>(SUM(B5:B12))</f>
        <v>99.654587910000004</v>
      </c>
      <c r="D13" s="38">
        <f>(SUM(D5:D12))</f>
        <v>33.990036590000003</v>
      </c>
      <c r="R13" s="1">
        <f>(SUM(R5:R12))</f>
        <v>99.654587910000004</v>
      </c>
      <c r="T13" s="38">
        <f>(SUM(T5:T12))</f>
        <v>33.990036590000003</v>
      </c>
    </row>
  </sheetData>
  <conditionalFormatting sqref="C5 C7 G12 S5 S7">
    <cfRule type="cellIs" dxfId="211" priority="15" operator="lessThan">
      <formula>$J$3</formula>
    </cfRule>
    <cfRule type="cellIs" dxfId="210" priority="16" operator="greaterThan">
      <formula>$J$3</formula>
    </cfRule>
  </conditionalFormatting>
  <conditionalFormatting sqref="O6:O9">
    <cfRule type="cellIs" dxfId="209" priority="11" operator="lessThan">
      <formula>$J$3</formula>
    </cfRule>
    <cfRule type="cellIs" dxfId="208" priority="12" operator="greaterThan">
      <formula>$J$3</formula>
    </cfRule>
  </conditionalFormatting>
  <conditionalFormatting sqref="O6">
    <cfRule type="cellIs" dxfId="207" priority="1" operator="lessThan">
      <formula>$J$3</formula>
    </cfRule>
    <cfRule type="cellIs" dxfId="206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0.11094886764303651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7.0015804356865283</v>
      </c>
      <c r="K4" s="4">
        <f>(J4/D14-1)</f>
        <v>-0.287433610348512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0.36356174000000002</v>
      </c>
      <c r="C6" s="40">
        <v>0</v>
      </c>
      <c r="D6" s="40">
        <f>(B6*C6)</f>
        <v>0</v>
      </c>
      <c r="E6" s="38">
        <f>(B6*J3)</f>
        <v>4.0336763371332053E-2</v>
      </c>
      <c r="M6" t="s">
        <v>11</v>
      </c>
      <c r="N6" s="29">
        <f>($B$14/5)</f>
        <v>12.621274258</v>
      </c>
      <c r="O6" s="38">
        <f>($C$5*Params!K8)</f>
        <v>0.21940472231459929</v>
      </c>
      <c r="P6" s="38">
        <f>(O6*N6)</f>
        <v>2.7691671738328902</v>
      </c>
      <c r="R6" s="25">
        <f>(B6)</f>
        <v>0.36356174000000002</v>
      </c>
      <c r="S6" s="40">
        <v>0</v>
      </c>
      <c r="T6" s="40">
        <f>(D6)</f>
        <v>0</v>
      </c>
      <c r="U6" s="38">
        <f>(E6)</f>
        <v>4.0336763371332053E-2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12.621274258</v>
      </c>
      <c r="O7" s="38">
        <f>($C$5*Params!K9)</f>
        <v>0.27003658131027602</v>
      </c>
      <c r="P7" s="38">
        <f>(O7*N7)</f>
        <v>3.4082057524097107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12.621274258</v>
      </c>
      <c r="O8" s="38">
        <f>($C$5*Params!K10)</f>
        <v>0.37130029930162955</v>
      </c>
      <c r="P8" s="38">
        <f>(O8*N8)</f>
        <v>4.686282909563352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12.621274258</v>
      </c>
      <c r="O9" s="38">
        <f>($C$5*Params!K11)</f>
        <v>0.67509145327569009</v>
      </c>
      <c r="P9" s="38">
        <f>(O9*N9)</f>
        <v>8.5205143810242774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19.384170216830231</v>
      </c>
    </row>
    <row r="13" spans="2:21">
      <c r="F13" t="s">
        <v>9</v>
      </c>
      <c r="G13" s="38">
        <f>(D14/B14)</f>
        <v>0.15570320078849204</v>
      </c>
    </row>
    <row r="14" spans="2:21">
      <c r="B14" s="29">
        <f>(SUM(B5:B13))</f>
        <v>63.106371289999998</v>
      </c>
      <c r="D14" s="38">
        <f>(SUM(D5:D13))</f>
        <v>9.8258639999999993</v>
      </c>
    </row>
    <row r="17" spans="11:20">
      <c r="N17" s="29"/>
      <c r="R17" s="29">
        <f>(SUM(R5:R16))</f>
        <v>63.106371290000006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5" priority="13" operator="lessThan">
      <formula>$J$3</formula>
    </cfRule>
    <cfRule type="cellIs" dxfId="204" priority="14" operator="greaterThan">
      <formula>$J$3</formula>
    </cfRule>
  </conditionalFormatting>
  <conditionalFormatting sqref="C9:C10">
    <cfRule type="cellIs" dxfId="203" priority="11" operator="lessThan">
      <formula>$J$3</formula>
    </cfRule>
    <cfRule type="cellIs" dxfId="202" priority="12" operator="greaterThan">
      <formula>$J$3</formula>
    </cfRule>
  </conditionalFormatting>
  <conditionalFormatting sqref="O6:O9">
    <cfRule type="cellIs" dxfId="201" priority="9" operator="lessThan">
      <formula>$J$3</formula>
    </cfRule>
    <cfRule type="cellIs" dxfId="200" priority="10" operator="greaterThan">
      <formula>$J$3</formula>
    </cfRule>
  </conditionalFormatting>
  <conditionalFormatting sqref="S5 S7:S8">
    <cfRule type="cellIs" dxfId="199" priority="5" operator="lessThan">
      <formula>$J$3</formula>
    </cfRule>
    <cfRule type="cellIs" dxfId="198" priority="6" operator="greaterThan">
      <formula>$J$3</formula>
    </cfRule>
  </conditionalFormatting>
  <conditionalFormatting sqref="O6">
    <cfRule type="cellIs" dxfId="197" priority="3" operator="lessThan">
      <formula>$J$3</formula>
    </cfRule>
    <cfRule type="cellIs" dxfId="196" priority="4" operator="greaterThan">
      <formula>$J$3</formula>
    </cfRule>
  </conditionalFormatting>
  <conditionalFormatting sqref="G13">
    <cfRule type="cellIs" dxfId="195" priority="1" operator="lessThan">
      <formula>$J$3</formula>
    </cfRule>
    <cfRule type="cellIs" dxfId="194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2023-07-30T10:25:40Z</dcterms:modified>
</cp:coreProperties>
</file>