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78" firstSheet="1" activeTab="4"/>
  </bookViews>
  <sheets>
    <sheet name="ETH" sheetId="1" r:id="rId1"/>
    <sheet name="BTC" sheetId="2" r:id="rId2"/>
    <sheet name="Cake" sheetId="3" r:id="rId3"/>
    <sheet name="POLIS" sheetId="4" r:id="rId4"/>
    <sheet name="ATLAS" sheetId="5" r:id="rId5"/>
    <sheet name="BIGTIME" sheetId="6" r:id="rId6"/>
    <sheet name="Ayman" sheetId="7" r:id="rId7"/>
    <sheet name="ACE" sheetId="8" r:id="rId8"/>
    <sheet name="ADA" sheetId="9" r:id="rId9"/>
    <sheet name="ALGO" sheetId="10" r:id="rId10"/>
    <sheet name="APE" sheetId="11" r:id="rId11"/>
    <sheet name="ATOM" sheetId="12" r:id="rId12"/>
    <sheet name="AVAX" sheetId="13" r:id="rId13"/>
    <sheet name="AMP" sheetId="14" r:id="rId14"/>
    <sheet name="BNB" sheetId="15" r:id="rId15"/>
    <sheet name="DOGE" sheetId="16" r:id="rId16"/>
    <sheet name="DOT" sheetId="17" r:id="rId17"/>
    <sheet name="EGLD" sheetId="18" r:id="rId18"/>
    <sheet name="GRT" sheetId="19" r:id="rId19"/>
    <sheet name="ICP" sheetId="20" r:id="rId20"/>
    <sheet name="KAVA" sheetId="21" r:id="rId21"/>
    <sheet name="LDO" sheetId="22" r:id="rId22"/>
    <sheet name="LINK" sheetId="23" r:id="rId23"/>
    <sheet name="LTC" sheetId="24" r:id="rId24"/>
    <sheet name="LUNA" sheetId="25" r:id="rId25"/>
    <sheet name="LUNC" sheetId="26" r:id="rId26"/>
    <sheet name="MATIC" sheetId="27" r:id="rId27"/>
    <sheet name="MEME" sheetId="28" r:id="rId28"/>
    <sheet name="MINA" sheetId="29" r:id="rId29"/>
    <sheet name="NEAR" sheetId="30" r:id="rId30"/>
    <sheet name="SEI" sheetId="31" r:id="rId31"/>
    <sheet name="SHIB" sheetId="32" r:id="rId32"/>
    <sheet name="SHPING" sheetId="33" r:id="rId33"/>
    <sheet name="SOL" sheetId="34" r:id="rId34"/>
    <sheet name="TRX" sheetId="35" r:id="rId35"/>
    <sheet name="UNI" sheetId="36" r:id="rId36"/>
    <sheet name="XRP" sheetId="37" r:id="rId37"/>
    <sheet name="TIA" sheetId="38" r:id="rId38"/>
    <sheet name="DYDX" sheetId="39" r:id="rId39"/>
  </sheets>
  <externalReferences>
    <externalReference r:id="rId40"/>
  </externalReferences>
  <calcPr calcId="124519"/>
</workbook>
</file>

<file path=xl/calcChain.xml><?xml version="1.0" encoding="utf-8"?>
<calcChain xmlns="http://schemas.openxmlformats.org/spreadsheetml/2006/main">
  <c r="C4" i="6"/>
  <c r="N26" i="34"/>
  <c r="N17"/>
  <c r="R13"/>
  <c r="O9"/>
  <c r="T18" i="39" l="1"/>
  <c r="B14"/>
  <c r="N9"/>
  <c r="O8"/>
  <c r="P8" s="1"/>
  <c r="N8"/>
  <c r="N7"/>
  <c r="S6"/>
  <c r="R6"/>
  <c r="N6"/>
  <c r="E6"/>
  <c r="D6"/>
  <c r="T6" s="1"/>
  <c r="T5"/>
  <c r="S5"/>
  <c r="R5"/>
  <c r="R18" s="1"/>
  <c r="C5"/>
  <c r="J4"/>
  <c r="B14" i="38"/>
  <c r="O9"/>
  <c r="N8"/>
  <c r="O7"/>
  <c r="T6"/>
  <c r="S6"/>
  <c r="R6"/>
  <c r="O6"/>
  <c r="E6"/>
  <c r="D6"/>
  <c r="D14" s="1"/>
  <c r="T5"/>
  <c r="R5"/>
  <c r="R18" s="1"/>
  <c r="C5"/>
  <c r="O8" s="1"/>
  <c r="P8" s="1"/>
  <c r="D14" i="37"/>
  <c r="B14"/>
  <c r="G13"/>
  <c r="C12"/>
  <c r="C11"/>
  <c r="C10"/>
  <c r="O9"/>
  <c r="P9" s="1"/>
  <c r="N9"/>
  <c r="C9"/>
  <c r="T8"/>
  <c r="S8"/>
  <c r="R8"/>
  <c r="N8"/>
  <c r="C8"/>
  <c r="T7"/>
  <c r="R7"/>
  <c r="N7"/>
  <c r="C7"/>
  <c r="T6"/>
  <c r="S6"/>
  <c r="R6"/>
  <c r="P6"/>
  <c r="O6"/>
  <c r="N6"/>
  <c r="E6"/>
  <c r="D6"/>
  <c r="T5"/>
  <c r="S5" s="1"/>
  <c r="R5"/>
  <c r="C5"/>
  <c r="O8" s="1"/>
  <c r="P8" s="1"/>
  <c r="K4"/>
  <c r="J4"/>
  <c r="B10" i="36"/>
  <c r="N9"/>
  <c r="N8"/>
  <c r="O7"/>
  <c r="P7" s="1"/>
  <c r="N7"/>
  <c r="N6"/>
  <c r="E6"/>
  <c r="D6"/>
  <c r="D10" s="1"/>
  <c r="C5"/>
  <c r="O9" s="1"/>
  <c r="P9" s="1"/>
  <c r="J4"/>
  <c r="D13" i="35"/>
  <c r="B13"/>
  <c r="G12"/>
  <c r="O9"/>
  <c r="P9" s="1"/>
  <c r="N9"/>
  <c r="N8"/>
  <c r="O7"/>
  <c r="P7" s="1"/>
  <c r="N7"/>
  <c r="Q6"/>
  <c r="Q9" s="1"/>
  <c r="N6"/>
  <c r="E6"/>
  <c r="D6"/>
  <c r="C5"/>
  <c r="O8" s="1"/>
  <c r="P8" s="1"/>
  <c r="J4"/>
  <c r="K4" s="1"/>
  <c r="D41" i="34"/>
  <c r="C41"/>
  <c r="C40"/>
  <c r="N39"/>
  <c r="D39"/>
  <c r="C39"/>
  <c r="D38"/>
  <c r="C38"/>
  <c r="C37"/>
  <c r="C36"/>
  <c r="C35"/>
  <c r="C34"/>
  <c r="B34"/>
  <c r="D33"/>
  <c r="C32"/>
  <c r="C31"/>
  <c r="C30"/>
  <c r="D29"/>
  <c r="C29"/>
  <c r="T28"/>
  <c r="S28"/>
  <c r="R28"/>
  <c r="B28"/>
  <c r="C28" s="1"/>
  <c r="R27"/>
  <c r="C27"/>
  <c r="T26"/>
  <c r="B26"/>
  <c r="C26" s="1"/>
  <c r="T25"/>
  <c r="R25"/>
  <c r="O25"/>
  <c r="P25" s="1"/>
  <c r="T27" s="1"/>
  <c r="N25"/>
  <c r="C25"/>
  <c r="T24"/>
  <c r="S24"/>
  <c r="R24"/>
  <c r="N24"/>
  <c r="C24"/>
  <c r="T23"/>
  <c r="R23"/>
  <c r="N23"/>
  <c r="C23"/>
  <c r="T22"/>
  <c r="S22" s="1"/>
  <c r="R22"/>
  <c r="C22"/>
  <c r="O23" s="1"/>
  <c r="P23" s="1"/>
  <c r="T21"/>
  <c r="R21"/>
  <c r="V21" s="1"/>
  <c r="C21"/>
  <c r="R20"/>
  <c r="N8" s="1"/>
  <c r="C20"/>
  <c r="T19"/>
  <c r="R19"/>
  <c r="V19" s="1"/>
  <c r="C19"/>
  <c r="T18"/>
  <c r="R18"/>
  <c r="E18"/>
  <c r="T17"/>
  <c r="R17"/>
  <c r="C17"/>
  <c r="T16"/>
  <c r="S16" s="1"/>
  <c r="R16"/>
  <c r="O16"/>
  <c r="N16"/>
  <c r="R26" s="1"/>
  <c r="C16"/>
  <c r="P9" s="1"/>
  <c r="T15"/>
  <c r="S15"/>
  <c r="R15"/>
  <c r="O15"/>
  <c r="N15"/>
  <c r="P15" s="1"/>
  <c r="B15"/>
  <c r="E15" s="1"/>
  <c r="T14"/>
  <c r="S14"/>
  <c r="R14"/>
  <c r="O14"/>
  <c r="N14"/>
  <c r="P14" s="1"/>
  <c r="B14"/>
  <c r="T13"/>
  <c r="S13"/>
  <c r="O17" s="1"/>
  <c r="P17" s="1"/>
  <c r="D13"/>
  <c r="B13"/>
  <c r="T12"/>
  <c r="S12" s="1"/>
  <c r="R12"/>
  <c r="E12"/>
  <c r="T11"/>
  <c r="S11"/>
  <c r="R11"/>
  <c r="C11"/>
  <c r="T10"/>
  <c r="S10"/>
  <c r="C10"/>
  <c r="U9"/>
  <c r="S9"/>
  <c r="R9"/>
  <c r="N9"/>
  <c r="B9"/>
  <c r="C9" s="1"/>
  <c r="R8"/>
  <c r="T8" s="1"/>
  <c r="P8"/>
  <c r="O8"/>
  <c r="C8"/>
  <c r="B8"/>
  <c r="T7"/>
  <c r="R7"/>
  <c r="P7"/>
  <c r="N7"/>
  <c r="C7"/>
  <c r="T6"/>
  <c r="O6"/>
  <c r="N6"/>
  <c r="P6" s="1"/>
  <c r="P11" s="1"/>
  <c r="B6"/>
  <c r="S5"/>
  <c r="D5"/>
  <c r="D43" s="1"/>
  <c r="B5"/>
  <c r="R5" s="1"/>
  <c r="D10" i="33"/>
  <c r="G9" s="1"/>
  <c r="B10"/>
  <c r="N9"/>
  <c r="N8"/>
  <c r="O7"/>
  <c r="P7" s="1"/>
  <c r="N7"/>
  <c r="N6"/>
  <c r="C5"/>
  <c r="O9" s="1"/>
  <c r="P9" s="1"/>
  <c r="K4"/>
  <c r="J4"/>
  <c r="D13" i="32"/>
  <c r="B13"/>
  <c r="G12"/>
  <c r="N9"/>
  <c r="N8"/>
  <c r="N7"/>
  <c r="N6"/>
  <c r="E6"/>
  <c r="D6"/>
  <c r="C5"/>
  <c r="J4"/>
  <c r="K4" s="1"/>
  <c r="B14" i="31"/>
  <c r="O9"/>
  <c r="N8"/>
  <c r="N7"/>
  <c r="P7" s="1"/>
  <c r="D7"/>
  <c r="C7"/>
  <c r="T6"/>
  <c r="R6"/>
  <c r="P6"/>
  <c r="N6"/>
  <c r="E6"/>
  <c r="U6" s="1"/>
  <c r="D6"/>
  <c r="D14" s="1"/>
  <c r="T5"/>
  <c r="R5"/>
  <c r="R17" s="1"/>
  <c r="C5"/>
  <c r="O8" s="1"/>
  <c r="P8" s="1"/>
  <c r="O3"/>
  <c r="N3"/>
  <c r="P3" s="1"/>
  <c r="B23" i="30"/>
  <c r="C21"/>
  <c r="D20"/>
  <c r="C20"/>
  <c r="C19"/>
  <c r="E18"/>
  <c r="C18"/>
  <c r="C17"/>
  <c r="C16"/>
  <c r="P15"/>
  <c r="O15"/>
  <c r="N15"/>
  <c r="C15"/>
  <c r="P14"/>
  <c r="O14"/>
  <c r="N14"/>
  <c r="C14"/>
  <c r="T13"/>
  <c r="R13"/>
  <c r="C13"/>
  <c r="T12"/>
  <c r="S12" s="1"/>
  <c r="R12"/>
  <c r="C12"/>
  <c r="T11"/>
  <c r="R11"/>
  <c r="C11"/>
  <c r="T10"/>
  <c r="R10"/>
  <c r="C10"/>
  <c r="R9"/>
  <c r="O9"/>
  <c r="D9"/>
  <c r="T8"/>
  <c r="R8"/>
  <c r="C8"/>
  <c r="T7"/>
  <c r="R7"/>
  <c r="E7"/>
  <c r="U6"/>
  <c r="T6"/>
  <c r="S6" s="1"/>
  <c r="R6"/>
  <c r="R26" s="1"/>
  <c r="P6"/>
  <c r="O6"/>
  <c r="N6"/>
  <c r="C6"/>
  <c r="O17" s="1"/>
  <c r="T5"/>
  <c r="S5"/>
  <c r="R5"/>
  <c r="C5"/>
  <c r="O8" s="1"/>
  <c r="J4"/>
  <c r="B10" i="29"/>
  <c r="N7"/>
  <c r="E7"/>
  <c r="D7"/>
  <c r="E6"/>
  <c r="D6"/>
  <c r="C5"/>
  <c r="O7" s="1"/>
  <c r="P7" s="1"/>
  <c r="J4"/>
  <c r="D10" i="28"/>
  <c r="G9" s="1"/>
  <c r="B10"/>
  <c r="N9"/>
  <c r="N8"/>
  <c r="O7"/>
  <c r="P7" s="1"/>
  <c r="N7"/>
  <c r="N6"/>
  <c r="E6"/>
  <c r="D6"/>
  <c r="C5"/>
  <c r="O9" s="1"/>
  <c r="P9" s="1"/>
  <c r="J4"/>
  <c r="O17" i="27"/>
  <c r="O16"/>
  <c r="B15"/>
  <c r="O14"/>
  <c r="C14"/>
  <c r="C13"/>
  <c r="C12"/>
  <c r="C11"/>
  <c r="R10"/>
  <c r="C10"/>
  <c r="C9"/>
  <c r="T8"/>
  <c r="R8"/>
  <c r="O8"/>
  <c r="C8"/>
  <c r="S8" s="1"/>
  <c r="T7"/>
  <c r="S7"/>
  <c r="O7" s="1"/>
  <c r="R7"/>
  <c r="C7"/>
  <c r="O9" s="1"/>
  <c r="U6"/>
  <c r="R6"/>
  <c r="O6"/>
  <c r="E6"/>
  <c r="D6"/>
  <c r="T5"/>
  <c r="R5"/>
  <c r="C5"/>
  <c r="O15" s="1"/>
  <c r="E37" i="26"/>
  <c r="C37"/>
  <c r="N12" s="1"/>
  <c r="E36"/>
  <c r="C36"/>
  <c r="B35"/>
  <c r="C34"/>
  <c r="C33"/>
  <c r="B32"/>
  <c r="C31"/>
  <c r="C30"/>
  <c r="C29"/>
  <c r="C28"/>
  <c r="T27"/>
  <c r="S27"/>
  <c r="R27"/>
  <c r="C27"/>
  <c r="T26"/>
  <c r="S26"/>
  <c r="R26"/>
  <c r="D26"/>
  <c r="B26"/>
  <c r="T25"/>
  <c r="D25"/>
  <c r="T21" s="1"/>
  <c r="B25"/>
  <c r="T24"/>
  <c r="C24"/>
  <c r="T23"/>
  <c r="R23"/>
  <c r="C23"/>
  <c r="T22"/>
  <c r="R22"/>
  <c r="C22"/>
  <c r="S21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N6" s="1"/>
  <c r="T13"/>
  <c r="S13"/>
  <c r="R13"/>
  <c r="C13"/>
  <c r="R12"/>
  <c r="S12" s="1"/>
  <c r="O12"/>
  <c r="P12" s="1"/>
  <c r="C12"/>
  <c r="R11"/>
  <c r="S11" s="1"/>
  <c r="C11"/>
  <c r="S10"/>
  <c r="R10"/>
  <c r="C10"/>
  <c r="B9"/>
  <c r="C9" s="1"/>
  <c r="R8"/>
  <c r="S8" s="1"/>
  <c r="C8"/>
  <c r="T7"/>
  <c r="R7"/>
  <c r="D7"/>
  <c r="R6"/>
  <c r="T6" s="1"/>
  <c r="O6"/>
  <c r="P6" s="1"/>
  <c r="D6"/>
  <c r="R5"/>
  <c r="D5"/>
  <c r="D20" i="25"/>
  <c r="D19"/>
  <c r="D18"/>
  <c r="D17"/>
  <c r="D16"/>
  <c r="D15"/>
  <c r="D14"/>
  <c r="D13"/>
  <c r="D12"/>
  <c r="D11"/>
  <c r="D10"/>
  <c r="D9"/>
  <c r="D8"/>
  <c r="B7"/>
  <c r="C7" s="1"/>
  <c r="E6"/>
  <c r="D6"/>
  <c r="D5"/>
  <c r="D22" s="1"/>
  <c r="D15" i="24"/>
  <c r="K4" s="1"/>
  <c r="B15"/>
  <c r="G14"/>
  <c r="C13"/>
  <c r="C12"/>
  <c r="C11"/>
  <c r="C10"/>
  <c r="C9"/>
  <c r="T8"/>
  <c r="R8"/>
  <c r="U8" s="1"/>
  <c r="O8"/>
  <c r="C8"/>
  <c r="T7"/>
  <c r="S7"/>
  <c r="R7"/>
  <c r="C7"/>
  <c r="O9" s="1"/>
  <c r="T6"/>
  <c r="R6"/>
  <c r="N9" s="1"/>
  <c r="O6"/>
  <c r="E6"/>
  <c r="D6"/>
  <c r="T5"/>
  <c r="S5" s="1"/>
  <c r="R5"/>
  <c r="C5"/>
  <c r="J4"/>
  <c r="B11" i="23"/>
  <c r="J4" s="1"/>
  <c r="T9"/>
  <c r="R9"/>
  <c r="N9"/>
  <c r="D9"/>
  <c r="C9"/>
  <c r="T8"/>
  <c r="R8"/>
  <c r="P8"/>
  <c r="O8"/>
  <c r="N8"/>
  <c r="C8"/>
  <c r="R7"/>
  <c r="P7"/>
  <c r="O7"/>
  <c r="N7"/>
  <c r="D7"/>
  <c r="T6"/>
  <c r="R6"/>
  <c r="N6"/>
  <c r="E6"/>
  <c r="D6"/>
  <c r="D11" s="1"/>
  <c r="G10" s="1"/>
  <c r="T5"/>
  <c r="R5"/>
  <c r="R22" s="1"/>
  <c r="C5"/>
  <c r="O9" s="1"/>
  <c r="P9" s="1"/>
  <c r="K4"/>
  <c r="B10" i="22"/>
  <c r="N9"/>
  <c r="N8"/>
  <c r="O7"/>
  <c r="P7" s="1"/>
  <c r="N7"/>
  <c r="N6"/>
  <c r="E6"/>
  <c r="D6"/>
  <c r="D10" s="1"/>
  <c r="C5"/>
  <c r="O9" s="1"/>
  <c r="P9" s="1"/>
  <c r="J4"/>
  <c r="D10" i="21"/>
  <c r="B10"/>
  <c r="G9" s="1"/>
  <c r="N9"/>
  <c r="N8"/>
  <c r="N7"/>
  <c r="N6"/>
  <c r="C5"/>
  <c r="O7" s="1"/>
  <c r="P7" s="1"/>
  <c r="B12" i="20"/>
  <c r="J4" s="1"/>
  <c r="G11"/>
  <c r="C10"/>
  <c r="T9"/>
  <c r="R9"/>
  <c r="N9"/>
  <c r="C9"/>
  <c r="T8"/>
  <c r="R8"/>
  <c r="N8"/>
  <c r="C8"/>
  <c r="T7"/>
  <c r="R7"/>
  <c r="P7"/>
  <c r="O7" s="1"/>
  <c r="N7"/>
  <c r="C7"/>
  <c r="T6"/>
  <c r="R6"/>
  <c r="R24" s="1"/>
  <c r="P6"/>
  <c r="O6"/>
  <c r="O3" s="1"/>
  <c r="N6"/>
  <c r="E6"/>
  <c r="D6"/>
  <c r="D12" s="1"/>
  <c r="T5"/>
  <c r="R5"/>
  <c r="C5"/>
  <c r="O9" s="1"/>
  <c r="P9" s="1"/>
  <c r="K4"/>
  <c r="D14" i="19"/>
  <c r="G13" s="1"/>
  <c r="B14"/>
  <c r="C12"/>
  <c r="D11"/>
  <c r="C11"/>
  <c r="C10"/>
  <c r="T9"/>
  <c r="S9" s="1"/>
  <c r="R9"/>
  <c r="O9"/>
  <c r="C9"/>
  <c r="T8"/>
  <c r="S8"/>
  <c r="R8"/>
  <c r="C8"/>
  <c r="T7"/>
  <c r="R7"/>
  <c r="P7"/>
  <c r="O7"/>
  <c r="N7"/>
  <c r="C7"/>
  <c r="S7" s="1"/>
  <c r="T6"/>
  <c r="S6"/>
  <c r="R6"/>
  <c r="N6"/>
  <c r="N8" s="1"/>
  <c r="C6"/>
  <c r="O6" s="1"/>
  <c r="R5"/>
  <c r="C5"/>
  <c r="O8" s="1"/>
  <c r="P8" s="1"/>
  <c r="K4"/>
  <c r="J4"/>
  <c r="B13" i="18"/>
  <c r="O9"/>
  <c r="O8"/>
  <c r="N8"/>
  <c r="O7"/>
  <c r="D7"/>
  <c r="C7" s="1"/>
  <c r="N6"/>
  <c r="E6"/>
  <c r="D6"/>
  <c r="D13" s="1"/>
  <c r="G12" s="1"/>
  <c r="J4"/>
  <c r="D11" i="17"/>
  <c r="C10"/>
  <c r="R9"/>
  <c r="D9"/>
  <c r="B9"/>
  <c r="O8"/>
  <c r="D8"/>
  <c r="C8" s="1"/>
  <c r="B8"/>
  <c r="B14" s="1"/>
  <c r="N9" s="1"/>
  <c r="T7"/>
  <c r="S7"/>
  <c r="R7"/>
  <c r="N7"/>
  <c r="C7"/>
  <c r="T6"/>
  <c r="S6" s="1"/>
  <c r="O7" s="1"/>
  <c r="P7" s="1"/>
  <c r="R6"/>
  <c r="N6"/>
  <c r="E6"/>
  <c r="D6"/>
  <c r="D14" s="1"/>
  <c r="G13" s="1"/>
  <c r="T5"/>
  <c r="R5"/>
  <c r="C5"/>
  <c r="O9" s="1"/>
  <c r="P9" s="1"/>
  <c r="B13" i="16"/>
  <c r="N9" s="1"/>
  <c r="O9"/>
  <c r="N8"/>
  <c r="O7"/>
  <c r="N6"/>
  <c r="E6"/>
  <c r="D6"/>
  <c r="D13" s="1"/>
  <c r="G12" s="1"/>
  <c r="C5"/>
  <c r="O8" s="1"/>
  <c r="P8" s="1"/>
  <c r="N24" i="15"/>
  <c r="N22"/>
  <c r="N17"/>
  <c r="B17"/>
  <c r="N16"/>
  <c r="C15"/>
  <c r="D14"/>
  <c r="C14" s="1"/>
  <c r="C13"/>
  <c r="C12"/>
  <c r="C11"/>
  <c r="T10"/>
  <c r="R10"/>
  <c r="E10"/>
  <c r="S9"/>
  <c r="O17" s="1"/>
  <c r="P17" s="1"/>
  <c r="R9"/>
  <c r="N15" s="1"/>
  <c r="N9"/>
  <c r="D9"/>
  <c r="S8"/>
  <c r="O9" s="1"/>
  <c r="P9" s="1"/>
  <c r="R8"/>
  <c r="T8" s="1"/>
  <c r="N8"/>
  <c r="J8"/>
  <c r="J9" s="1"/>
  <c r="E8"/>
  <c r="S7"/>
  <c r="R7"/>
  <c r="T7" s="1"/>
  <c r="N7"/>
  <c r="E7"/>
  <c r="S6"/>
  <c r="R6"/>
  <c r="T6" s="1"/>
  <c r="O6"/>
  <c r="P6" s="1"/>
  <c r="N6"/>
  <c r="D6"/>
  <c r="R5"/>
  <c r="R37" s="1"/>
  <c r="D5"/>
  <c r="G17" s="1"/>
  <c r="J4"/>
  <c r="D13" i="14"/>
  <c r="B13"/>
  <c r="G12"/>
  <c r="C11"/>
  <c r="C10"/>
  <c r="C9"/>
  <c r="C8"/>
  <c r="C7"/>
  <c r="T6"/>
  <c r="R6"/>
  <c r="C6"/>
  <c r="T5"/>
  <c r="T15" s="1"/>
  <c r="S5"/>
  <c r="R5"/>
  <c r="C5"/>
  <c r="J4"/>
  <c r="K4" s="1"/>
  <c r="P22" i="13"/>
  <c r="N22"/>
  <c r="O21"/>
  <c r="N21"/>
  <c r="P20"/>
  <c r="O20"/>
  <c r="N20"/>
  <c r="N23" s="1"/>
  <c r="B19"/>
  <c r="J4" s="1"/>
  <c r="K4" s="1"/>
  <c r="C17"/>
  <c r="C16"/>
  <c r="O22" s="1"/>
  <c r="C15"/>
  <c r="T14"/>
  <c r="R14"/>
  <c r="D14"/>
  <c r="P21" s="1"/>
  <c r="C14"/>
  <c r="T13"/>
  <c r="R13"/>
  <c r="C13"/>
  <c r="T12"/>
  <c r="R12"/>
  <c r="C12"/>
  <c r="T11"/>
  <c r="R11"/>
  <c r="C11"/>
  <c r="T10"/>
  <c r="R10"/>
  <c r="C10"/>
  <c r="T9"/>
  <c r="R9"/>
  <c r="C9"/>
  <c r="U8"/>
  <c r="T8"/>
  <c r="S8"/>
  <c r="O23" s="1"/>
  <c r="P23" s="1"/>
  <c r="R8"/>
  <c r="P8"/>
  <c r="N8"/>
  <c r="C8"/>
  <c r="T7"/>
  <c r="R7"/>
  <c r="R19" s="1"/>
  <c r="P7"/>
  <c r="O7"/>
  <c r="N7"/>
  <c r="C7"/>
  <c r="T6"/>
  <c r="S6"/>
  <c r="O9" s="1"/>
  <c r="R6"/>
  <c r="E6"/>
  <c r="D6"/>
  <c r="D19" s="1"/>
  <c r="T5"/>
  <c r="T19" s="1"/>
  <c r="R5"/>
  <c r="U5" s="1"/>
  <c r="C5"/>
  <c r="O6" s="1"/>
  <c r="B14" i="12"/>
  <c r="N9"/>
  <c r="O8"/>
  <c r="P8" s="1"/>
  <c r="N8"/>
  <c r="N7"/>
  <c r="D7"/>
  <c r="D14" s="1"/>
  <c r="G13" s="1"/>
  <c r="N6"/>
  <c r="E6"/>
  <c r="D6"/>
  <c r="C5"/>
  <c r="J4"/>
  <c r="B14" i="11"/>
  <c r="J4" s="1"/>
  <c r="K4" s="1"/>
  <c r="D12"/>
  <c r="C12" s="1"/>
  <c r="C11"/>
  <c r="C10"/>
  <c r="O9"/>
  <c r="C9"/>
  <c r="O8"/>
  <c r="C8"/>
  <c r="T7"/>
  <c r="U7" s="1"/>
  <c r="R7"/>
  <c r="N7"/>
  <c r="C7"/>
  <c r="T6"/>
  <c r="S6" s="1"/>
  <c r="R6"/>
  <c r="O6"/>
  <c r="E6"/>
  <c r="D6"/>
  <c r="D14" s="1"/>
  <c r="G13" s="1"/>
  <c r="T5"/>
  <c r="T14" s="1"/>
  <c r="R5"/>
  <c r="C5"/>
  <c r="O7" s="1"/>
  <c r="P7" s="1"/>
  <c r="B14" i="10"/>
  <c r="C10"/>
  <c r="N9"/>
  <c r="C9"/>
  <c r="O8"/>
  <c r="P8" s="1"/>
  <c r="N8"/>
  <c r="C8"/>
  <c r="T7"/>
  <c r="R7"/>
  <c r="N7"/>
  <c r="C7"/>
  <c r="T6"/>
  <c r="T17" s="1"/>
  <c r="R6"/>
  <c r="N6"/>
  <c r="E6"/>
  <c r="U6" s="1"/>
  <c r="D6"/>
  <c r="D14" s="1"/>
  <c r="G13" s="1"/>
  <c r="T5"/>
  <c r="S5"/>
  <c r="R5"/>
  <c r="R17" s="1"/>
  <c r="C5"/>
  <c r="O6" s="1"/>
  <c r="P6" s="1"/>
  <c r="J4"/>
  <c r="B13" i="9"/>
  <c r="C11"/>
  <c r="C10"/>
  <c r="T9"/>
  <c r="R9"/>
  <c r="O9"/>
  <c r="C9"/>
  <c r="T8"/>
  <c r="R8"/>
  <c r="O8"/>
  <c r="C8"/>
  <c r="T7"/>
  <c r="S7"/>
  <c r="O7" s="1"/>
  <c r="R7"/>
  <c r="P7"/>
  <c r="N7"/>
  <c r="C7"/>
  <c r="U6"/>
  <c r="R6"/>
  <c r="P6"/>
  <c r="O6"/>
  <c r="O3" s="1"/>
  <c r="N6"/>
  <c r="E6"/>
  <c r="D6"/>
  <c r="D13" s="1"/>
  <c r="G12" s="1"/>
  <c r="T5"/>
  <c r="R5"/>
  <c r="R13" s="1"/>
  <c r="C5"/>
  <c r="N3"/>
  <c r="P3" s="1"/>
  <c r="O9" i="8"/>
  <c r="O7"/>
  <c r="C7"/>
  <c r="T6"/>
  <c r="R6"/>
  <c r="U6" s="1"/>
  <c r="E6"/>
  <c r="D6"/>
  <c r="C5"/>
  <c r="O8" s="1"/>
  <c r="B5"/>
  <c r="C6" i="7"/>
  <c r="E6" s="1"/>
  <c r="C5"/>
  <c r="E5" s="1"/>
  <c r="E9" s="1"/>
  <c r="D77" i="5"/>
  <c r="C77"/>
  <c r="E74"/>
  <c r="E73"/>
  <c r="E72"/>
  <c r="E71"/>
  <c r="E70"/>
  <c r="E69"/>
  <c r="E68"/>
  <c r="E67"/>
  <c r="E66"/>
  <c r="E65"/>
  <c r="E64"/>
  <c r="D63"/>
  <c r="E63" s="1"/>
  <c r="E62"/>
  <c r="E61"/>
  <c r="E60"/>
  <c r="E53"/>
  <c r="D53"/>
  <c r="G53" s="1"/>
  <c r="C53"/>
  <c r="E52"/>
  <c r="D52"/>
  <c r="G52" s="1"/>
  <c r="H36" s="1"/>
  <c r="H41" s="1"/>
  <c r="C52"/>
  <c r="F51"/>
  <c r="E51"/>
  <c r="D51"/>
  <c r="C51"/>
  <c r="G51" s="1"/>
  <c r="H35" s="1"/>
  <c r="M46"/>
  <c r="M45"/>
  <c r="M44"/>
  <c r="M43"/>
  <c r="M42"/>
  <c r="D42"/>
  <c r="E42" s="1"/>
  <c r="F42" s="1"/>
  <c r="M41"/>
  <c r="E41"/>
  <c r="F41" s="1"/>
  <c r="D40"/>
  <c r="E40" s="1"/>
  <c r="F40" s="1"/>
  <c r="D39"/>
  <c r="E39" s="1"/>
  <c r="F39" s="1"/>
  <c r="L38"/>
  <c r="M38" s="1"/>
  <c r="D38"/>
  <c r="E38" s="1"/>
  <c r="F38" s="1"/>
  <c r="M37"/>
  <c r="E37"/>
  <c r="F37" s="1"/>
  <c r="D37"/>
  <c r="M36"/>
  <c r="F36"/>
  <c r="I36" s="1"/>
  <c r="K36" s="1"/>
  <c r="D36"/>
  <c r="E36" s="1"/>
  <c r="M35"/>
  <c r="E35"/>
  <c r="F35" s="1"/>
  <c r="D35"/>
  <c r="E31"/>
  <c r="D31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J14" s="1"/>
  <c r="E9"/>
  <c r="E8"/>
  <c r="E7"/>
  <c r="E6"/>
  <c r="E5"/>
  <c r="O32" i="4"/>
  <c r="P32" s="1"/>
  <c r="N32"/>
  <c r="O31"/>
  <c r="N31"/>
  <c r="O30"/>
  <c r="P30" s="1"/>
  <c r="N30"/>
  <c r="O29"/>
  <c r="N29"/>
  <c r="O23"/>
  <c r="N23"/>
  <c r="O22"/>
  <c r="P22" s="1"/>
  <c r="N22"/>
  <c r="O21"/>
  <c r="N21"/>
  <c r="O20"/>
  <c r="P20" s="1"/>
  <c r="N20"/>
  <c r="O14"/>
  <c r="P14" s="1"/>
  <c r="N14"/>
  <c r="O13"/>
  <c r="N13"/>
  <c r="O12"/>
  <c r="P12" s="1"/>
  <c r="N12"/>
  <c r="O11"/>
  <c r="N11"/>
  <c r="B9"/>
  <c r="J4" s="1"/>
  <c r="D7"/>
  <c r="O6"/>
  <c r="N6"/>
  <c r="D6"/>
  <c r="D5"/>
  <c r="E234" i="3"/>
  <c r="D234"/>
  <c r="E233"/>
  <c r="D233"/>
  <c r="E232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58" s="1"/>
  <c r="Y2"/>
  <c r="M76" i="2"/>
  <c r="M74"/>
  <c r="N73"/>
  <c r="N68"/>
  <c r="O68" s="1"/>
  <c r="M68"/>
  <c r="M67"/>
  <c r="N66"/>
  <c r="O66" s="1"/>
  <c r="M66"/>
  <c r="N65"/>
  <c r="M65"/>
  <c r="B30" s="1"/>
  <c r="M60"/>
  <c r="M59"/>
  <c r="N57"/>
  <c r="M52"/>
  <c r="M51"/>
  <c r="M49"/>
  <c r="M44"/>
  <c r="N43"/>
  <c r="O43" s="1"/>
  <c r="M43"/>
  <c r="M42"/>
  <c r="N41"/>
  <c r="O41" s="1"/>
  <c r="M41"/>
  <c r="M36"/>
  <c r="D36"/>
  <c r="M35"/>
  <c r="B35"/>
  <c r="C35" s="1"/>
  <c r="M34"/>
  <c r="C34"/>
  <c r="N33"/>
  <c r="O33" s="1"/>
  <c r="M33"/>
  <c r="D33"/>
  <c r="C33" s="1"/>
  <c r="N19" s="1"/>
  <c r="O19" s="1"/>
  <c r="B33"/>
  <c r="R15" s="1"/>
  <c r="C32"/>
  <c r="N49" s="1"/>
  <c r="O49" s="1"/>
  <c r="D29"/>
  <c r="M28"/>
  <c r="D28"/>
  <c r="M27"/>
  <c r="D27"/>
  <c r="M26"/>
  <c r="D26"/>
  <c r="C26"/>
  <c r="N9" s="1"/>
  <c r="O9" s="1"/>
  <c r="N25"/>
  <c r="O25" s="1"/>
  <c r="M25"/>
  <c r="C25"/>
  <c r="N67" s="1"/>
  <c r="O67" s="1"/>
  <c r="T24"/>
  <c r="S24"/>
  <c r="R24"/>
  <c r="M75" s="1"/>
  <c r="C24"/>
  <c r="T23"/>
  <c r="R23"/>
  <c r="C23"/>
  <c r="C22"/>
  <c r="N44" s="1"/>
  <c r="O44" s="1"/>
  <c r="C21"/>
  <c r="M20"/>
  <c r="C20"/>
  <c r="T19"/>
  <c r="S19"/>
  <c r="N51" s="1"/>
  <c r="O51" s="1"/>
  <c r="R19"/>
  <c r="M50" s="1"/>
  <c r="M19"/>
  <c r="C19"/>
  <c r="N28" s="1"/>
  <c r="O28" s="1"/>
  <c r="T18"/>
  <c r="S18" s="1"/>
  <c r="R18"/>
  <c r="N18"/>
  <c r="O18" s="1"/>
  <c r="M18"/>
  <c r="D18"/>
  <c r="T17"/>
  <c r="R17"/>
  <c r="M17"/>
  <c r="C17"/>
  <c r="N20" s="1"/>
  <c r="O20" s="1"/>
  <c r="T16"/>
  <c r="S16"/>
  <c r="R16"/>
  <c r="D16"/>
  <c r="T14" s="1"/>
  <c r="D15"/>
  <c r="S14"/>
  <c r="R14"/>
  <c r="D14"/>
  <c r="T13"/>
  <c r="R13"/>
  <c r="D13"/>
  <c r="T12" s="1"/>
  <c r="S12" s="1"/>
  <c r="R12"/>
  <c r="N12"/>
  <c r="M12"/>
  <c r="D12"/>
  <c r="T11"/>
  <c r="R11"/>
  <c r="N11"/>
  <c r="M11"/>
  <c r="O11" s="1"/>
  <c r="D11"/>
  <c r="T10"/>
  <c r="R10"/>
  <c r="N10"/>
  <c r="M10"/>
  <c r="O10" s="1"/>
  <c r="D10"/>
  <c r="S9"/>
  <c r="R9"/>
  <c r="M9"/>
  <c r="C9"/>
  <c r="S8"/>
  <c r="R8"/>
  <c r="C8"/>
  <c r="S7"/>
  <c r="R7"/>
  <c r="C7"/>
  <c r="T6"/>
  <c r="R6"/>
  <c r="E6"/>
  <c r="D6"/>
  <c r="T5"/>
  <c r="R5"/>
  <c r="D5"/>
  <c r="D41" i="1"/>
  <c r="C40"/>
  <c r="D38"/>
  <c r="T21" s="1"/>
  <c r="B38"/>
  <c r="B39" s="1"/>
  <c r="R22" s="1"/>
  <c r="N37"/>
  <c r="C37"/>
  <c r="N36"/>
  <c r="C36"/>
  <c r="N35"/>
  <c r="C35"/>
  <c r="N34"/>
  <c r="C34"/>
  <c r="D33"/>
  <c r="D32"/>
  <c r="D31"/>
  <c r="D30"/>
  <c r="D29"/>
  <c r="C28"/>
  <c r="D27"/>
  <c r="D26"/>
  <c r="D25"/>
  <c r="D24"/>
  <c r="T23"/>
  <c r="S23"/>
  <c r="R23"/>
  <c r="D23"/>
  <c r="C23"/>
  <c r="B23"/>
  <c r="B43" s="1"/>
  <c r="J12" s="1"/>
  <c r="J13" s="1"/>
  <c r="D22"/>
  <c r="R21"/>
  <c r="N21"/>
  <c r="D21"/>
  <c r="T20"/>
  <c r="S20"/>
  <c r="O29" s="1"/>
  <c r="P29" s="1"/>
  <c r="R20"/>
  <c r="N29" s="1"/>
  <c r="N20"/>
  <c r="C20"/>
  <c r="T19"/>
  <c r="R19"/>
  <c r="N19" s="1"/>
  <c r="D19"/>
  <c r="C19"/>
  <c r="T18"/>
  <c r="S18" s="1"/>
  <c r="O13" s="1"/>
  <c r="P13" s="1"/>
  <c r="R18"/>
  <c r="O18"/>
  <c r="N18"/>
  <c r="D18"/>
  <c r="C18"/>
  <c r="S17"/>
  <c r="R17"/>
  <c r="D17"/>
  <c r="R16"/>
  <c r="D16"/>
  <c r="T15"/>
  <c r="R15"/>
  <c r="D15"/>
  <c r="T14"/>
  <c r="R14"/>
  <c r="D14"/>
  <c r="T13"/>
  <c r="S13"/>
  <c r="R13"/>
  <c r="N13"/>
  <c r="D13"/>
  <c r="R12"/>
  <c r="T12" s="1"/>
  <c r="N12"/>
  <c r="E12"/>
  <c r="D12"/>
  <c r="R11"/>
  <c r="T11" s="1"/>
  <c r="D11"/>
  <c r="T8" s="1"/>
  <c r="R10"/>
  <c r="O10"/>
  <c r="N10"/>
  <c r="P10" s="1"/>
  <c r="D10"/>
  <c r="T9"/>
  <c r="R9"/>
  <c r="D9"/>
  <c r="R8"/>
  <c r="R32" s="1"/>
  <c r="D8"/>
  <c r="T7"/>
  <c r="R7"/>
  <c r="D7"/>
  <c r="T6"/>
  <c r="R6"/>
  <c r="P6"/>
  <c r="N6"/>
  <c r="O6" s="1"/>
  <c r="D6"/>
  <c r="T5"/>
  <c r="R5"/>
  <c r="D5"/>
  <c r="J4"/>
  <c r="P11" i="4" l="1"/>
  <c r="P17" s="1"/>
  <c r="P13"/>
  <c r="P21"/>
  <c r="P23"/>
  <c r="P29"/>
  <c r="P35" s="1"/>
  <c r="P31"/>
  <c r="P8" i="18"/>
  <c r="O12" i="2"/>
  <c r="N3" i="19"/>
  <c r="H38" i="5"/>
  <c r="H37"/>
  <c r="B31" i="2"/>
  <c r="D30"/>
  <c r="T21" s="1"/>
  <c r="B38"/>
  <c r="R21"/>
  <c r="D43" i="1"/>
  <c r="P9" i="13"/>
  <c r="P25"/>
  <c r="O14" i="2"/>
  <c r="P18" i="1"/>
  <c r="N3"/>
  <c r="C18" i="2"/>
  <c r="N17" s="1"/>
  <c r="O17" s="1"/>
  <c r="O22" s="1"/>
  <c r="T15"/>
  <c r="S15" s="1"/>
  <c r="N9" i="9"/>
  <c r="N8"/>
  <c r="J4"/>
  <c r="K4" s="1"/>
  <c r="E7" i="12"/>
  <c r="K4"/>
  <c r="O9" i="14"/>
  <c r="O8"/>
  <c r="N9"/>
  <c r="N8"/>
  <c r="N7"/>
  <c r="N6"/>
  <c r="R15"/>
  <c r="O37" i="1"/>
  <c r="P37" s="1"/>
  <c r="O36"/>
  <c r="P36" s="1"/>
  <c r="O35"/>
  <c r="P35" s="1"/>
  <c r="O34"/>
  <c r="P34" s="1"/>
  <c r="N36" i="2"/>
  <c r="O36" s="1"/>
  <c r="N35"/>
  <c r="O35" s="1"/>
  <c r="N76"/>
  <c r="O76" s="1"/>
  <c r="N74"/>
  <c r="O74" s="1"/>
  <c r="N7" i="8"/>
  <c r="R5"/>
  <c r="R13" s="1"/>
  <c r="T13" i="9"/>
  <c r="S5"/>
  <c r="N9" i="11"/>
  <c r="N8"/>
  <c r="N6"/>
  <c r="P6" s="1"/>
  <c r="O9" i="12"/>
  <c r="P9" s="1"/>
  <c r="O7"/>
  <c r="P7" s="1"/>
  <c r="R32" i="13"/>
  <c r="G18"/>
  <c r="G9" i="22"/>
  <c r="K4"/>
  <c r="G9" i="36"/>
  <c r="K4"/>
  <c r="O26" i="1"/>
  <c r="O27"/>
  <c r="O28"/>
  <c r="O65" i="2"/>
  <c r="O70" s="1"/>
  <c r="I37" i="5"/>
  <c r="K37" s="1"/>
  <c r="I41"/>
  <c r="K41" s="1"/>
  <c r="P7" i="8"/>
  <c r="P8" i="9"/>
  <c r="P9"/>
  <c r="P11" s="1"/>
  <c r="K4" i="10"/>
  <c r="V7" i="13"/>
  <c r="P19" i="34"/>
  <c r="O3" i="1"/>
  <c r="P3" s="1"/>
  <c r="O11"/>
  <c r="O12"/>
  <c r="P12" s="1"/>
  <c r="T10"/>
  <c r="S10" s="1"/>
  <c r="N11"/>
  <c r="S19"/>
  <c r="T16"/>
  <c r="T32" s="1"/>
  <c r="D39"/>
  <c r="T22" s="1"/>
  <c r="N4" i="2"/>
  <c r="S17"/>
  <c r="N34"/>
  <c r="O34" s="1"/>
  <c r="O38" s="1"/>
  <c r="N50"/>
  <c r="O50" s="1"/>
  <c r="N52"/>
  <c r="O52" s="1"/>
  <c r="N75"/>
  <c r="O75" s="1"/>
  <c r="D9" i="4"/>
  <c r="K4" s="1"/>
  <c r="P6"/>
  <c r="P26"/>
  <c r="J12" i="5"/>
  <c r="I35"/>
  <c r="K35" s="1"/>
  <c r="L39"/>
  <c r="D5" i="8"/>
  <c r="N6"/>
  <c r="N18" s="1"/>
  <c r="O18" s="1"/>
  <c r="N8"/>
  <c r="P8" s="1"/>
  <c r="B13"/>
  <c r="O7" i="10"/>
  <c r="P7" s="1"/>
  <c r="P12" s="1"/>
  <c r="O9"/>
  <c r="P9" s="1"/>
  <c r="U5" i="11"/>
  <c r="P8"/>
  <c r="P9"/>
  <c r="R14"/>
  <c r="O6" i="12"/>
  <c r="P6" s="1"/>
  <c r="P12" s="1"/>
  <c r="N6" i="13"/>
  <c r="P6" s="1"/>
  <c r="P11" s="1"/>
  <c r="O8"/>
  <c r="O3" s="1"/>
  <c r="N9"/>
  <c r="O6" i="14"/>
  <c r="P6" s="1"/>
  <c r="O7"/>
  <c r="P7" s="1"/>
  <c r="P9" i="16"/>
  <c r="P9" i="24"/>
  <c r="P17" i="30"/>
  <c r="C11" i="17"/>
  <c r="O6" s="1"/>
  <c r="T9"/>
  <c r="T24" i="20"/>
  <c r="S5"/>
  <c r="T7" i="23"/>
  <c r="C7"/>
  <c r="P6"/>
  <c r="N12" i="25"/>
  <c r="N6"/>
  <c r="T5" i="26"/>
  <c r="T39" s="1"/>
  <c r="C35"/>
  <c r="R25"/>
  <c r="N17" i="27"/>
  <c r="N16"/>
  <c r="N14"/>
  <c r="B16"/>
  <c r="D15"/>
  <c r="T10" s="1"/>
  <c r="N17" i="30"/>
  <c r="N16"/>
  <c r="T17" i="31"/>
  <c r="S5"/>
  <c r="N9"/>
  <c r="J4"/>
  <c r="K4" s="1"/>
  <c r="R6" i="34"/>
  <c r="C6"/>
  <c r="E14"/>
  <c r="R10"/>
  <c r="R43" s="1"/>
  <c r="O26"/>
  <c r="P26" s="1"/>
  <c r="O24"/>
  <c r="P24" s="1"/>
  <c r="P16"/>
  <c r="T18" i="38"/>
  <c r="S5"/>
  <c r="N9"/>
  <c r="N7"/>
  <c r="P7" s="1"/>
  <c r="N6"/>
  <c r="J4"/>
  <c r="K4" s="1"/>
  <c r="N9" i="18"/>
  <c r="N7"/>
  <c r="R33" i="19"/>
  <c r="N9"/>
  <c r="R21" i="24"/>
  <c r="N8"/>
  <c r="P8" s="1"/>
  <c r="N6"/>
  <c r="C32" i="26"/>
  <c r="R24"/>
  <c r="S5" i="27"/>
  <c r="N9" i="29"/>
  <c r="N8"/>
  <c r="N6"/>
  <c r="D23" i="30"/>
  <c r="G22" s="1"/>
  <c r="T9"/>
  <c r="V9" s="1"/>
  <c r="C9"/>
  <c r="N9"/>
  <c r="P9" s="1"/>
  <c r="N8"/>
  <c r="P8" s="1"/>
  <c r="N7"/>
  <c r="O9" i="32"/>
  <c r="P9" s="1"/>
  <c r="O7"/>
  <c r="P7" s="1"/>
  <c r="T5" i="34"/>
  <c r="C33"/>
  <c r="T20"/>
  <c r="V20" s="1"/>
  <c r="O9" i="39"/>
  <c r="P9" s="1"/>
  <c r="O7"/>
  <c r="P7" s="1"/>
  <c r="O6"/>
  <c r="P6" s="1"/>
  <c r="O14" i="15"/>
  <c r="O15"/>
  <c r="P15" s="1"/>
  <c r="D17"/>
  <c r="K4" s="1"/>
  <c r="U5" i="17"/>
  <c r="R8"/>
  <c r="R13" s="1"/>
  <c r="T8"/>
  <c r="S8" s="1"/>
  <c r="P9" i="19"/>
  <c r="O6" i="21"/>
  <c r="P6" s="1"/>
  <c r="O8"/>
  <c r="P8" s="1"/>
  <c r="O12" i="25"/>
  <c r="P16" i="27"/>
  <c r="P17"/>
  <c r="B18"/>
  <c r="J4" s="1"/>
  <c r="O8" i="29"/>
  <c r="P8" s="1"/>
  <c r="O9"/>
  <c r="K4" i="30"/>
  <c r="V8"/>
  <c r="P9" i="31"/>
  <c r="P12" s="1"/>
  <c r="Q8" i="35"/>
  <c r="T18" i="37"/>
  <c r="P9" i="38"/>
  <c r="N26" i="1"/>
  <c r="N27"/>
  <c r="N28"/>
  <c r="N26" i="2"/>
  <c r="O26" s="1"/>
  <c r="N27"/>
  <c r="O27" s="1"/>
  <c r="N42"/>
  <c r="O42" s="1"/>
  <c r="O46" s="1"/>
  <c r="M73"/>
  <c r="O73" s="1"/>
  <c r="O78" s="1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G8" i="4"/>
  <c r="O6" i="8"/>
  <c r="T6" i="9"/>
  <c r="T5" i="15"/>
  <c r="O7"/>
  <c r="P7" s="1"/>
  <c r="O8"/>
  <c r="P8" s="1"/>
  <c r="P11" s="1"/>
  <c r="T9"/>
  <c r="N14"/>
  <c r="O16"/>
  <c r="P16" s="1"/>
  <c r="N23"/>
  <c r="N25"/>
  <c r="J4" i="16"/>
  <c r="K4" s="1"/>
  <c r="O6"/>
  <c r="P6" s="1"/>
  <c r="N7"/>
  <c r="P7" s="1"/>
  <c r="J4" i="17"/>
  <c r="K4" s="1"/>
  <c r="P6"/>
  <c r="N8"/>
  <c r="P8" s="1"/>
  <c r="K4" i="18"/>
  <c r="P6"/>
  <c r="P7"/>
  <c r="P9"/>
  <c r="O3" i="19"/>
  <c r="P3" s="1"/>
  <c r="P6"/>
  <c r="N3" i="20"/>
  <c r="P3" s="1"/>
  <c r="S6"/>
  <c r="J4" i="21"/>
  <c r="K4" s="1"/>
  <c r="O9"/>
  <c r="P9" s="1"/>
  <c r="S5" i="23"/>
  <c r="S6"/>
  <c r="T22"/>
  <c r="P6" i="24"/>
  <c r="S6"/>
  <c r="N7"/>
  <c r="T21"/>
  <c r="O6" i="25"/>
  <c r="P6" s="1"/>
  <c r="B22"/>
  <c r="J4" s="1"/>
  <c r="D39" i="26"/>
  <c r="R9"/>
  <c r="S9" s="1"/>
  <c r="B39"/>
  <c r="P14" i="27"/>
  <c r="P20" s="1"/>
  <c r="N15"/>
  <c r="P15" s="1"/>
  <c r="K4" i="28"/>
  <c r="D10" i="29"/>
  <c r="G9" s="1"/>
  <c r="O6"/>
  <c r="O7" i="30"/>
  <c r="N3" s="1"/>
  <c r="S10"/>
  <c r="O16"/>
  <c r="P16" s="1"/>
  <c r="P19" s="1"/>
  <c r="G13" i="31"/>
  <c r="O6" i="32"/>
  <c r="P6" s="1"/>
  <c r="P11" s="1"/>
  <c r="O8"/>
  <c r="P8" s="1"/>
  <c r="O7" i="34"/>
  <c r="N3" s="1"/>
  <c r="B43"/>
  <c r="J4" s="1"/>
  <c r="K4" s="1"/>
  <c r="O6" i="35"/>
  <c r="P6" s="1"/>
  <c r="P11" s="1"/>
  <c r="Q7"/>
  <c r="R18" i="37"/>
  <c r="G13" i="38"/>
  <c r="P6"/>
  <c r="D14" i="39"/>
  <c r="G13" s="1"/>
  <c r="S5" i="19"/>
  <c r="T5" s="1"/>
  <c r="T33" s="1"/>
  <c r="W33" s="1"/>
  <c r="O8" i="20"/>
  <c r="P8" s="1"/>
  <c r="P11" s="1"/>
  <c r="O6" i="22"/>
  <c r="P6" s="1"/>
  <c r="O8"/>
  <c r="P8" s="1"/>
  <c r="O7" i="24"/>
  <c r="T6" i="27"/>
  <c r="O6" i="28"/>
  <c r="P6" s="1"/>
  <c r="O8"/>
  <c r="P8" s="1"/>
  <c r="O6" i="33"/>
  <c r="P6" s="1"/>
  <c r="O8"/>
  <c r="P8" s="1"/>
  <c r="O6" i="36"/>
  <c r="P6" s="1"/>
  <c r="O8"/>
  <c r="P8" s="1"/>
  <c r="O7" i="37"/>
  <c r="O3" s="1"/>
  <c r="P28" i="34" l="1"/>
  <c r="O54" i="2"/>
  <c r="P11" i="11"/>
  <c r="T37" i="15"/>
  <c r="S5"/>
  <c r="N3" i="8"/>
  <c r="O3"/>
  <c r="P6"/>
  <c r="M39" i="5"/>
  <c r="L40"/>
  <c r="M40" s="1"/>
  <c r="M4" i="2"/>
  <c r="O4" s="1"/>
  <c r="G42" i="1"/>
  <c r="G7"/>
  <c r="J4" i="2"/>
  <c r="J7"/>
  <c r="J8" s="1"/>
  <c r="M57"/>
  <c r="O57" s="1"/>
  <c r="R22"/>
  <c r="D31"/>
  <c r="D38" s="1"/>
  <c r="G37" s="1"/>
  <c r="T22"/>
  <c r="T20"/>
  <c r="R20"/>
  <c r="H42" i="5"/>
  <c r="I42" s="1"/>
  <c r="K42" s="1"/>
  <c r="H39"/>
  <c r="P7" i="37"/>
  <c r="P11" s="1"/>
  <c r="N3"/>
  <c r="P3" s="1"/>
  <c r="P7" i="30"/>
  <c r="P11" s="1"/>
  <c r="O3"/>
  <c r="P3" s="1"/>
  <c r="O9" i="26"/>
  <c r="P9" s="1"/>
  <c r="J4"/>
  <c r="O6" i="18"/>
  <c r="P11"/>
  <c r="R9" i="27"/>
  <c r="D16"/>
  <c r="O6" i="23"/>
  <c r="P11"/>
  <c r="O3" i="17"/>
  <c r="N3"/>
  <c r="N9" i="8"/>
  <c r="P9" s="1"/>
  <c r="J4"/>
  <c r="K4" s="1"/>
  <c r="D13"/>
  <c r="G12" s="1"/>
  <c r="T5"/>
  <c r="O20" i="1"/>
  <c r="P20" s="1"/>
  <c r="O19"/>
  <c r="P19" s="1"/>
  <c r="P23" s="1"/>
  <c r="O21"/>
  <c r="P21" s="1"/>
  <c r="P11" i="38"/>
  <c r="P12" i="17"/>
  <c r="P14" i="15"/>
  <c r="P19" s="1"/>
  <c r="T43" i="34"/>
  <c r="W43" s="1"/>
  <c r="O3"/>
  <c r="P3" s="1"/>
  <c r="R39" i="26"/>
  <c r="P28" i="1"/>
  <c r="P26"/>
  <c r="P8" i="14"/>
  <c r="P11" i="36"/>
  <c r="P11" i="33"/>
  <c r="P11" i="28"/>
  <c r="P7" i="24"/>
  <c r="P11" s="1"/>
  <c r="P11" i="22"/>
  <c r="P6" i="29"/>
  <c r="K4"/>
  <c r="G39" i="26"/>
  <c r="P13" i="19"/>
  <c r="P11" i="16"/>
  <c r="O30" i="2"/>
  <c r="K4" i="39"/>
  <c r="T26" i="30"/>
  <c r="P9" i="29"/>
  <c r="P12" i="25"/>
  <c r="P11" i="21"/>
  <c r="T13" i="17"/>
  <c r="P11" i="39"/>
  <c r="G43" i="34"/>
  <c r="P11" i="1"/>
  <c r="P15" s="1"/>
  <c r="N3" i="13"/>
  <c r="P3" s="1"/>
  <c r="P27" i="1"/>
  <c r="K4"/>
  <c r="P39"/>
  <c r="P9" i="14"/>
  <c r="I38" i="5"/>
  <c r="K38" s="1"/>
  <c r="S21" i="2"/>
  <c r="P12" i="14" l="1"/>
  <c r="P11" i="8"/>
  <c r="T13"/>
  <c r="S5"/>
  <c r="T9" i="27"/>
  <c r="T17" s="1"/>
  <c r="D18"/>
  <c r="H40" i="5"/>
  <c r="I40" s="1"/>
  <c r="K40" s="1"/>
  <c r="I39"/>
  <c r="K39" s="1"/>
  <c r="M58" i="2"/>
  <c r="R37"/>
  <c r="O3" i="23"/>
  <c r="N3"/>
  <c r="N8" i="27"/>
  <c r="P8" s="1"/>
  <c r="N6"/>
  <c r="P6" s="1"/>
  <c r="N9"/>
  <c r="P9" s="1"/>
  <c r="N7"/>
  <c r="P7" s="1"/>
  <c r="R17"/>
  <c r="N3" i="18"/>
  <c r="O3"/>
  <c r="S20" i="2"/>
  <c r="T37"/>
  <c r="K14" i="5"/>
  <c r="M47"/>
  <c r="O24" i="15"/>
  <c r="P24" s="1"/>
  <c r="O22"/>
  <c r="P22" s="1"/>
  <c r="O25"/>
  <c r="P25" s="1"/>
  <c r="O23"/>
  <c r="P23" s="1"/>
  <c r="P11" i="29"/>
  <c r="P31" i="1"/>
  <c r="P3" i="17"/>
  <c r="K4" i="2"/>
  <c r="P3" i="8"/>
  <c r="J13" i="5" l="1"/>
  <c r="J15" s="1"/>
  <c r="J16" s="1"/>
  <c r="N60" i="2"/>
  <c r="O60" s="1"/>
  <c r="N58"/>
  <c r="O58" s="1"/>
  <c r="N59"/>
  <c r="O59" s="1"/>
  <c r="G17" i="27"/>
  <c r="K4"/>
  <c r="P11"/>
  <c r="P27" i="15"/>
  <c r="P3" i="18"/>
  <c r="P3" i="23"/>
  <c r="O47" i="5" l="1"/>
  <c r="P47" s="1"/>
  <c r="O62" i="2"/>
</calcChain>
</file>

<file path=xl/sharedStrings.xml><?xml version="1.0" encoding="utf-8"?>
<sst xmlns="http://schemas.openxmlformats.org/spreadsheetml/2006/main" count="860" uniqueCount="100">
  <si>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</si>
  <si>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</si>
  <si>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</si>
  <si>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</si>
  <si>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</si>
  <si>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</si>
  <si>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</si>
  <si>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</si>
  <si>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</si>
  <si>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</si>
  <si>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</si>
  <si>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</si>
  <si>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</si>
  <si>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</si>
  <si>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</si>
  <si>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</si>
  <si>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</si>
  <si>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</si>
  <si>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</si>
  <si>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0.00108507 BTC 0.05319 ratio</t>
  </si>
  <si>
    <t>15.6</t>
  </si>
  <si>
    <t>105</t>
  </si>
  <si>
    <t>43.5</t>
  </si>
  <si>
    <t xml:space="preserve"> 0.05319 ratio</t>
  </si>
  <si>
    <t>eth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</si>
  <si>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</si>
  <si>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</si>
  <si>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</si>
  <si>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</si>
  <si>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</si>
  <si>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</si>
  <si>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</si>
  <si>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</si>
  <si>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</si>
  <si>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</si>
  <si>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</si>
  <si>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</si>
  <si>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</si>
  <si>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</si>
  <si>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</si>
  <si>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</si>
  <si>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</si>
  <si>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</si>
  <si>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</si>
  <si>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</si>
  <si>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</si>
  <si>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</si>
  <si>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</si>
  <si>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</si>
  <si>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</si>
  <si>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</si>
  <si>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</si>
  <si>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</si>
  <si>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</si>
  <si>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</si>
  <si>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</si>
  <si>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</si>
  <si>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</si>
  <si>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</si>
  <si>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</si>
  <si>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</si>
  <si>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</si>
  <si>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</si>
  <si>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</si>
  <si>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</si>
  <si>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</si>
  <si>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</si>
  <si>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</si>
  <si>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</si>
  <si>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</si>
  <si>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</si>
  <si>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</si>
  <si>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</si>
  <si>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</si>
  <si>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</si>
  <si>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</si>
  <si>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</si>
  <si>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</si>
  <si>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</si>
  <si>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</si>
  <si>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</si>
  <si>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</si>
  <si>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</si>
  <si>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</si>
  <si>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</si>
  <si>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</si>
  <si>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DCA2*</t>
  </si>
  <si>
    <t>Learn 1/5</t>
  </si>
  <si>
    <t>Ph</t>
  </si>
  <si>
    <t>NFT Burn</t>
  </si>
  <si>
    <t>Ph*</t>
  </si>
  <si>
    <t>DCA1*</t>
  </si>
  <si>
    <t>Ph 2/5</t>
  </si>
  <si>
    <t>DCA1 2/5</t>
  </si>
  <si>
    <t>Ph 3/5</t>
  </si>
  <si>
    <t>DCA2 2/5</t>
  </si>
  <si>
    <t>DCA1 3/5</t>
  </si>
  <si>
    <t>DCA2 3/5</t>
  </si>
  <si>
    <t>Ph 4/5</t>
  </si>
  <si>
    <t>DCA5</t>
  </si>
</sst>
</file>

<file path=xl/styles.xml><?xml version="1.0" encoding="utf-8"?>
<styleSheet xmlns="http://schemas.openxmlformats.org/spreadsheetml/2006/main">
  <numFmts count="14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0.0000000"/>
    <numFmt numFmtId="168" formatCode="dd/mm/yy;@"/>
    <numFmt numFmtId="169" formatCode="_(&quot;$&quot;* #,##0.000000_);_(&quot;$&quot;* \(#,##0.000000\);_(&quot;$&quot;* &quot;-&quot;??_);_(@_)"/>
    <numFmt numFmtId="170" formatCode="0.000"/>
    <numFmt numFmtId="171" formatCode="_(&quot;$&quot;* #,##0.000_);_(&quot;$&quot;* \(#,##0.000\);_(&quot;$&quot;* &quot;-&quot;??_);_(@_)"/>
    <numFmt numFmtId="172" formatCode="0.0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5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44" fontId="0" fillId="0" borderId="0" xfId="1" applyFont="1"/>
    <xf numFmtId="4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44" fontId="0" fillId="2" borderId="0" xfId="1" applyFont="1" applyFill="1"/>
    <xf numFmtId="165" fontId="0" fillId="2" borderId="0" xfId="0" applyNumberFormat="1" applyFill="1"/>
    <xf numFmtId="44" fontId="1" fillId="0" borderId="0" xfId="1"/>
    <xf numFmtId="167" fontId="0" fillId="0" borderId="0" xfId="0" applyNumberFormat="1"/>
    <xf numFmtId="168" fontId="0" fillId="0" borderId="0" xfId="0" applyNumberFormat="1"/>
    <xf numFmtId="169" fontId="0" fillId="0" borderId="0" xfId="1" applyNumberFormat="1" applyFont="1"/>
    <xf numFmtId="44" fontId="0" fillId="0" borderId="7" xfId="1" applyFont="1" applyBorder="1"/>
    <xf numFmtId="170" fontId="0" fillId="0" borderId="0" xfId="0" applyNumberFormat="1"/>
    <xf numFmtId="170" fontId="0" fillId="0" borderId="0" xfId="1" applyNumberFormat="1" applyFont="1"/>
    <xf numFmtId="44" fontId="0" fillId="0" borderId="5" xfId="0" applyNumberFormat="1" applyBorder="1"/>
    <xf numFmtId="165" fontId="0" fillId="0" borderId="0" xfId="2" applyNumberFormat="1" applyFont="1"/>
    <xf numFmtId="44" fontId="0" fillId="3" borderId="0" xfId="1" applyFont="1" applyFill="1"/>
    <xf numFmtId="170" fontId="0" fillId="3" borderId="0" xfId="1" applyNumberFormat="1" applyFont="1" applyFill="1"/>
    <xf numFmtId="44" fontId="0" fillId="3" borderId="5" xfId="0" applyNumberFormat="1" applyFill="1" applyBorder="1"/>
    <xf numFmtId="165" fontId="0" fillId="3" borderId="0" xfId="2" applyNumberFormat="1" applyFont="1" applyFill="1"/>
    <xf numFmtId="170" fontId="0" fillId="0" borderId="5" xfId="0" applyNumberFormat="1" applyBorder="1"/>
    <xf numFmtId="44" fontId="0" fillId="0" borderId="5" xfId="1" applyFont="1" applyBorder="1"/>
    <xf numFmtId="171" fontId="0" fillId="0" borderId="0" xfId="1" applyNumberFormat="1" applyFont="1"/>
    <xf numFmtId="172" fontId="0" fillId="0" borderId="0" xfId="0" applyNumberFormat="1"/>
    <xf numFmtId="170" fontId="0" fillId="2" borderId="0" xfId="0" applyNumberFormat="1" applyFill="1"/>
    <xf numFmtId="173" fontId="0" fillId="0" borderId="0" xfId="1" applyNumberFormat="1" applyFont="1"/>
    <xf numFmtId="174" fontId="0" fillId="0" borderId="0" xfId="0" applyNumberFormat="1"/>
    <xf numFmtId="174" fontId="0" fillId="2" borderId="0" xfId="0" applyNumberFormat="1" applyFill="1"/>
    <xf numFmtId="175" fontId="0" fillId="0" borderId="0" xfId="1" applyNumberFormat="1" applyFont="1"/>
    <xf numFmtId="171" fontId="0" fillId="0" borderId="0" xfId="0" applyNumberFormat="1"/>
    <xf numFmtId="175" fontId="0" fillId="0" borderId="0" xfId="0" applyNumberFormat="1"/>
    <xf numFmtId="176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  <c:pt idx="201">
                  <c:v>61.82</c:v>
                </c:pt>
                <c:pt idx="202">
                  <c:v>62.55</c:v>
                </c:pt>
              </c:numCache>
            </c:numRef>
          </c:val>
        </c:ser>
        <c:ser>
          <c:idx val="1"/>
          <c:order val="1"/>
          <c:tx>
            <c:strRef>
              <c:f>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  <c:pt idx="201">
                  <c:v>12.704099999999999</c:v>
                </c:pt>
                <c:pt idx="202">
                  <c:v>12.331799999999999</c:v>
                </c:pt>
              </c:numCache>
            </c:numRef>
          </c:val>
        </c:ser>
        <c:ser>
          <c:idx val="2"/>
          <c:order val="2"/>
          <c:tx>
            <c:strRef>
              <c:f>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  <c:pt idx="201">
                  <c:v>184.97728039391504</c:v>
                </c:pt>
                <c:pt idx="202">
                  <c:v>210.32939306997136</c:v>
                </c:pt>
              </c:numCache>
            </c:numRef>
          </c:val>
        </c:ser>
        <c:marker val="1"/>
        <c:axId val="72831360"/>
        <c:axId val="72833280"/>
      </c:lineChart>
      <c:dateAx>
        <c:axId val="72831360"/>
        <c:scaling>
          <c:orientation val="minMax"/>
        </c:scaling>
        <c:axPos val="b"/>
        <c:numFmt formatCode="dd/mm/yy;@" sourceLinked="1"/>
        <c:majorTickMark val="none"/>
        <c:tickLblPos val="nextTo"/>
        <c:crossAx val="72833280"/>
        <c:crosses val="autoZero"/>
        <c:lblOffset val="100"/>
      </c:dateAx>
      <c:valAx>
        <c:axId val="72833280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28313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sion%20Gener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3"/>
  <sheetViews>
    <sheetView workbookViewId="0">
      <selection activeCell="K41" sqref="K41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3">
        <v>2198.0574722949691</v>
      </c>
      <c r="M3" t="s">
        <v>4</v>
      </c>
      <c r="N3">
        <f>(INDEX(N5:N29,MATCH(MAX(O18,O10),O5:O29,0))/0.9)</f>
        <v>5.1611111111111111E-3</v>
      </c>
      <c r="O3" s="24">
        <f>(MAX(O18,O10)*0.85)</f>
        <v>1364.25</v>
      </c>
      <c r="P3" s="25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(B43*J3)</f>
        <v>1242.7649236570619</v>
      </c>
      <c r="K4" s="4">
        <f>(J4/D43-1)</f>
        <v>-0.18561822580177978</v>
      </c>
      <c r="R4" t="s">
        <v>5</v>
      </c>
      <c r="S4" t="s">
        <v>6</v>
      </c>
      <c r="T4" t="s">
        <v>7</v>
      </c>
    </row>
    <row r="5" spans="2:20">
      <c r="B5" s="26">
        <v>0.25</v>
      </c>
      <c r="C5" s="24">
        <v>4000</v>
      </c>
      <c r="D5" s="25">
        <f t="shared" ref="D5:D19" si="0">B5*C5</f>
        <v>1000</v>
      </c>
      <c r="N5" t="s">
        <v>0</v>
      </c>
      <c r="O5" t="s">
        <v>1</v>
      </c>
      <c r="P5" t="s">
        <v>2</v>
      </c>
      <c r="R5" s="26">
        <f>(B5)</f>
        <v>0.25</v>
      </c>
      <c r="S5" s="24">
        <v>4000</v>
      </c>
      <c r="T5" s="25">
        <f>(R5*S5)</f>
        <v>1000</v>
      </c>
    </row>
    <row r="6" spans="2:20">
      <c r="B6" s="26">
        <v>5.9999999999999995E-4</v>
      </c>
      <c r="C6" s="24">
        <v>3950</v>
      </c>
      <c r="D6" s="25">
        <f t="shared" si="0"/>
        <v>2.3699999999999997</v>
      </c>
      <c r="M6" t="s">
        <v>4</v>
      </c>
      <c r="N6" s="24">
        <f>(MIN(C5,C6,C7,C18:C25)*2)</f>
        <v>2335.3573096683795</v>
      </c>
      <c r="O6">
        <f>(INDEX(B5:B25,MATCH(N6/2,C5:C25,0)))</f>
        <v>1.2E-2</v>
      </c>
      <c r="P6" s="25">
        <f>(N6*O6/2)</f>
        <v>14.012143858010276</v>
      </c>
      <c r="R6" s="26">
        <f>(B6)</f>
        <v>5.9999999999999995E-4</v>
      </c>
      <c r="S6" s="24">
        <v>3950</v>
      </c>
      <c r="T6" s="25">
        <f>(R6*S6)</f>
        <v>2.3699999999999997</v>
      </c>
    </row>
    <row r="7" spans="2:20">
      <c r="B7" s="26">
        <v>3.3999999999999998E-3</v>
      </c>
      <c r="C7" s="24">
        <v>3428</v>
      </c>
      <c r="D7" s="25">
        <f t="shared" si="0"/>
        <v>11.655199999999999</v>
      </c>
      <c r="F7" t="s">
        <v>9</v>
      </c>
      <c r="G7" s="23">
        <f>(D43/B43)</f>
        <v>2699.0504231986442</v>
      </c>
      <c r="R7" s="26">
        <f>(B7)</f>
        <v>3.3999999999999998E-3</v>
      </c>
      <c r="S7" s="24">
        <v>3428</v>
      </c>
      <c r="T7" s="25">
        <f>(R7*S7)</f>
        <v>11.655199999999999</v>
      </c>
    </row>
    <row r="8" spans="2:20">
      <c r="B8" s="26">
        <v>-7.6E-3</v>
      </c>
      <c r="C8" s="23">
        <v>3216.89</v>
      </c>
      <c r="D8" s="25">
        <f t="shared" si="0"/>
        <v>-24.448363999999998</v>
      </c>
      <c r="R8" s="26">
        <f>(B11+B10+B9+B8)</f>
        <v>1.5000000000000005E-3</v>
      </c>
      <c r="S8" s="23">
        <v>0</v>
      </c>
      <c r="T8" s="25">
        <f>(D11+D10+D9+D8)</f>
        <v>-0.15687200000000345</v>
      </c>
    </row>
    <row r="9" spans="2:20">
      <c r="B9" s="26">
        <v>-7.6E-3</v>
      </c>
      <c r="C9" s="23">
        <v>3214.67</v>
      </c>
      <c r="D9" s="25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6">
        <f>(B12)</f>
        <v>6.5194199999999997E-3</v>
      </c>
      <c r="S9" s="23">
        <v>0</v>
      </c>
      <c r="T9" s="25">
        <f>(R9*S9)</f>
        <v>0</v>
      </c>
    </row>
    <row r="10" spans="2:20">
      <c r="B10" s="26">
        <v>-7.6E-3</v>
      </c>
      <c r="C10" s="23">
        <v>3213.16</v>
      </c>
      <c r="D10" s="25">
        <f t="shared" si="0"/>
        <v>-24.420016</v>
      </c>
      <c r="M10" t="s">
        <v>11</v>
      </c>
      <c r="N10">
        <f>(-B39)</f>
        <v>4.6449999999999998E-3</v>
      </c>
      <c r="O10" s="24">
        <f>(C39)</f>
        <v>1605</v>
      </c>
      <c r="P10" s="25">
        <f>(O10*N10)</f>
        <v>7.4552249999999995</v>
      </c>
      <c r="Q10" t="s">
        <v>12</v>
      </c>
      <c r="R10" s="26">
        <f>(SUM(B13:B20))</f>
        <v>1.6904289999999999E-2</v>
      </c>
      <c r="S10" s="24">
        <f>(T10/R10)</f>
        <v>267.31751240569082</v>
      </c>
      <c r="T10" s="25">
        <f>(SUM(D13:D20))</f>
        <v>4.5188127517843952</v>
      </c>
    </row>
    <row r="11" spans="2:20">
      <c r="B11" s="26">
        <v>2.4299999999999999E-2</v>
      </c>
      <c r="C11" s="24">
        <v>3010</v>
      </c>
      <c r="D11" s="25">
        <f t="shared" si="0"/>
        <v>73.143000000000001</v>
      </c>
      <c r="I11" t="s">
        <v>11</v>
      </c>
      <c r="J11">
        <v>0.6</v>
      </c>
      <c r="N11">
        <f>(2*($R$18+N10)/5-N10)</f>
        <v>4.1171531999999997E-2</v>
      </c>
      <c r="O11" s="24">
        <f>($S$18*[1]Params!K16)</f>
        <v>3374.7679544894722</v>
      </c>
      <c r="P11" s="25">
        <f>(O11*N11)</f>
        <v>138.94436683083785</v>
      </c>
      <c r="R11" s="26">
        <f>(B21)</f>
        <v>0.01</v>
      </c>
      <c r="S11" s="24">
        <v>1895</v>
      </c>
      <c r="T11" s="25">
        <f>(R11*S11)</f>
        <v>18.95</v>
      </c>
    </row>
    <row r="12" spans="2:20">
      <c r="B12" s="27">
        <v>6.5194199999999997E-3</v>
      </c>
      <c r="C12" s="28">
        <v>0</v>
      </c>
      <c r="D12" s="29">
        <f t="shared" si="0"/>
        <v>0</v>
      </c>
      <c r="E12" s="23">
        <f>(B12*J3)</f>
        <v>14.330059846029267</v>
      </c>
      <c r="I12" t="s">
        <v>13</v>
      </c>
      <c r="J12">
        <f>(J11-B43)</f>
        <v>3.460763E-2</v>
      </c>
      <c r="N12">
        <f>($B$35/5)</f>
        <v>2.2908266E-2</v>
      </c>
      <c r="O12" s="24">
        <f>($S$18*[1]Params!K17)</f>
        <v>6749.5359089789445</v>
      </c>
      <c r="P12" s="25">
        <f>(O12*N12)</f>
        <v>154.62016397944146</v>
      </c>
      <c r="R12" s="26">
        <f>(B22)</f>
        <v>0.01</v>
      </c>
      <c r="S12" s="24">
        <v>1890.15</v>
      </c>
      <c r="T12" s="25">
        <f>(R12*S12)</f>
        <v>18.901500000000002</v>
      </c>
    </row>
    <row r="13" spans="2:20">
      <c r="B13" s="26">
        <v>-8.0000000000000002E-3</v>
      </c>
      <c r="C13" s="23">
        <v>2340</v>
      </c>
      <c r="D13" s="25">
        <f t="shared" si="0"/>
        <v>-18.72</v>
      </c>
      <c r="I13" t="s">
        <v>14</v>
      </c>
      <c r="J13" s="23">
        <f>(J12*J3)</f>
        <v>76.069559719919539</v>
      </c>
      <c r="N13">
        <f>($B$35/5)</f>
        <v>2.2908266E-2</v>
      </c>
      <c r="O13" s="24">
        <f>($S$18*[1]Params!K18)</f>
        <v>13499.071817957889</v>
      </c>
      <c r="P13" s="25">
        <f>(O13*N13)</f>
        <v>309.24032795888292</v>
      </c>
      <c r="R13" s="26">
        <f>(B23)</f>
        <v>4.9950000000000001E-2</v>
      </c>
      <c r="S13" s="24">
        <f>(T13/R13)</f>
        <v>1643.6436436436434</v>
      </c>
      <c r="T13" s="25">
        <f>(82.1)</f>
        <v>82.1</v>
      </c>
    </row>
    <row r="14" spans="2:20">
      <c r="B14" s="26">
        <v>-0.01</v>
      </c>
      <c r="C14" s="23">
        <v>2263</v>
      </c>
      <c r="D14" s="25">
        <f t="shared" si="0"/>
        <v>-22.63</v>
      </c>
      <c r="R14" s="26">
        <f>(B24)</f>
        <v>0.01</v>
      </c>
      <c r="S14" s="24">
        <v>1709</v>
      </c>
      <c r="T14" s="25">
        <f>(S14*R14)</f>
        <v>17.09</v>
      </c>
    </row>
    <row r="15" spans="2:20">
      <c r="B15" s="26">
        <v>-8.9999999999999993E-3</v>
      </c>
      <c r="C15" s="23">
        <v>2114</v>
      </c>
      <c r="D15" s="25">
        <f t="shared" si="0"/>
        <v>-19.026</v>
      </c>
      <c r="P15" s="25">
        <f>(SUM(P10:P13))</f>
        <v>610.26008376916229</v>
      </c>
      <c r="R15" s="26">
        <f>(B25)</f>
        <v>0.01</v>
      </c>
      <c r="S15" s="24">
        <v>1617.3</v>
      </c>
      <c r="T15" s="25">
        <f>(S15*R15)</f>
        <v>16.172999999999998</v>
      </c>
    </row>
    <row r="16" spans="2:20">
      <c r="B16" s="26">
        <v>-8.0000000000000002E-3</v>
      </c>
      <c r="C16" s="23">
        <v>2027.47</v>
      </c>
      <c r="D16" s="25">
        <f t="shared" si="0"/>
        <v>-16.219760000000001</v>
      </c>
      <c r="R16" s="26">
        <f>(SUM(B26:B33))</f>
        <v>0</v>
      </c>
      <c r="S16" s="23">
        <v>0</v>
      </c>
      <c r="T16" s="25">
        <f>(SUM(D26:D33))</f>
        <v>-1.1127000000000002</v>
      </c>
    </row>
    <row r="17" spans="2:21">
      <c r="B17" s="26">
        <v>-8.2000000000000007E-3</v>
      </c>
      <c r="C17" s="23">
        <v>1961</v>
      </c>
      <c r="D17" s="25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6">
        <f>(B34)</f>
        <v>-0.01</v>
      </c>
      <c r="S17" s="23">
        <f>(T17/R17)</f>
        <v>1219.326523</v>
      </c>
      <c r="T17" s="25">
        <v>-12.19326523</v>
      </c>
    </row>
    <row r="18" spans="2:21">
      <c r="B18" s="26">
        <v>1.6E-2</v>
      </c>
      <c r="C18" s="24">
        <f>1/0.00048218</f>
        <v>2073.9143058608815</v>
      </c>
      <c r="D18" s="25">
        <f t="shared" si="0"/>
        <v>33.182628893774108</v>
      </c>
      <c r="M18" t="s">
        <v>11</v>
      </c>
      <c r="N18">
        <f>(-B38)</f>
        <v>7.0500000000000001E-4</v>
      </c>
      <c r="O18" s="24">
        <f>(C38)</f>
        <v>1605</v>
      </c>
      <c r="P18" s="25">
        <f>(O18*N18)</f>
        <v>1.1315250000000001</v>
      </c>
      <c r="Q18" t="s">
        <v>12</v>
      </c>
      <c r="R18" s="26">
        <f>(B35+B39)</f>
        <v>0.10989633</v>
      </c>
      <c r="S18" s="24">
        <f>(T18/R18)</f>
        <v>1687.3839772447361</v>
      </c>
      <c r="T18" s="25">
        <f>(D35+1283.68*B39)</f>
        <v>185.43730640000001</v>
      </c>
      <c r="U18" t="s">
        <v>10</v>
      </c>
    </row>
    <row r="19" spans="2:21">
      <c r="B19" s="26">
        <v>1.2E-2</v>
      </c>
      <c r="C19" s="24">
        <f>1/0.0008564</f>
        <v>1167.6786548341897</v>
      </c>
      <c r="D19" s="25">
        <f t="shared" si="0"/>
        <v>14.012143858010276</v>
      </c>
      <c r="N19">
        <f>(2*($R$19+N18)/5-N18)</f>
        <v>8.6293559999999995E-3</v>
      </c>
      <c r="O19" s="24">
        <f>($S$19*[1]Params!K16)</f>
        <v>3447.0430681250273</v>
      </c>
      <c r="P19" s="25">
        <f>(O19*N19)</f>
        <v>29.745761782183113</v>
      </c>
      <c r="R19" s="26">
        <f>(B36+B38)</f>
        <v>2.2630890000000001E-2</v>
      </c>
      <c r="S19" s="24">
        <f>(T19/R19)</f>
        <v>1723.5215340625136</v>
      </c>
      <c r="T19" s="25">
        <f>(D36+1269.75*B38)</f>
        <v>39.004826250000001</v>
      </c>
      <c r="U19" t="s">
        <v>15</v>
      </c>
    </row>
    <row r="20" spans="2:21">
      <c r="B20" s="26">
        <v>3.2104290000000001E-2</v>
      </c>
      <c r="C20" s="24">
        <f>D20/B20</f>
        <v>1557.4242570073968</v>
      </c>
      <c r="D20" s="25">
        <v>50</v>
      </c>
      <c r="N20">
        <f>($B$36/5)</f>
        <v>4.6671780000000001E-3</v>
      </c>
      <c r="O20" s="24">
        <f>($S$19*[1]Params!K17)</f>
        <v>6894.0861362500546</v>
      </c>
      <c r="P20" s="25">
        <f>(O20*N20)</f>
        <v>32.175927145211261</v>
      </c>
      <c r="R20" s="26">
        <f>(B37)</f>
        <v>4.1228E-4</v>
      </c>
      <c r="S20" s="24">
        <f>(C37)</f>
        <v>1212.7680217328029</v>
      </c>
      <c r="T20" s="25">
        <f>(D37)</f>
        <v>0.5</v>
      </c>
    </row>
    <row r="21" spans="2:21">
      <c r="B21" s="26">
        <v>0.01</v>
      </c>
      <c r="C21" s="24">
        <v>1895</v>
      </c>
      <c r="D21" s="25">
        <f>B21*C21</f>
        <v>18.95</v>
      </c>
      <c r="N21">
        <f>($B$36/5)</f>
        <v>4.6671780000000001E-3</v>
      </c>
      <c r="O21" s="24">
        <f>($S$19*[1]Params!K18)</f>
        <v>13788.172272500109</v>
      </c>
      <c r="P21" s="25">
        <f>(O21*N21)</f>
        <v>64.351854290422523</v>
      </c>
      <c r="R21" s="26">
        <f>(B38-B38)</f>
        <v>0</v>
      </c>
      <c r="S21" s="23">
        <v>0</v>
      </c>
      <c r="T21" s="25">
        <f>(1269.75*-B38+D38)</f>
        <v>-0.23635125000000012</v>
      </c>
      <c r="U21" t="s">
        <v>16</v>
      </c>
    </row>
    <row r="22" spans="2:21">
      <c r="B22" s="26">
        <v>0.01</v>
      </c>
      <c r="C22" s="24">
        <v>1890.15</v>
      </c>
      <c r="D22" s="25">
        <f>B22*C22</f>
        <v>18.901500000000002</v>
      </c>
      <c r="R22" s="26">
        <f>(B39-B39)</f>
        <v>0</v>
      </c>
      <c r="S22" s="23">
        <v>0</v>
      </c>
      <c r="T22" s="25">
        <f>(1283.68*-B39+D39)</f>
        <v>-1.4925313999999998</v>
      </c>
      <c r="U22" t="s">
        <v>17</v>
      </c>
    </row>
    <row r="23" spans="2:21">
      <c r="B23" s="26">
        <f>0.05-0.00005</f>
        <v>4.9950000000000001E-2</v>
      </c>
      <c r="C23" s="24">
        <f>D23/B23</f>
        <v>1643.6436436436434</v>
      </c>
      <c r="D23" s="25">
        <f>82.1</f>
        <v>82.1</v>
      </c>
      <c r="P23" s="25">
        <f>(SUM(P18:P21))</f>
        <v>127.4050682178169</v>
      </c>
      <c r="R23" s="26">
        <f>(B40)</f>
        <v>5.319956E-2</v>
      </c>
      <c r="S23" s="24">
        <f>(T23/R23)</f>
        <v>1844.9400709329177</v>
      </c>
      <c r="T23" s="25">
        <f>(D40)</f>
        <v>98.15</v>
      </c>
      <c r="U23" t="s">
        <v>18</v>
      </c>
    </row>
    <row r="24" spans="2:21">
      <c r="B24" s="26">
        <v>0.01</v>
      </c>
      <c r="C24" s="24">
        <v>1709</v>
      </c>
      <c r="D24" s="25">
        <f>C24*B24</f>
        <v>17.09</v>
      </c>
    </row>
    <row r="25" spans="2:21">
      <c r="B25" s="26">
        <v>0.01</v>
      </c>
      <c r="C25" s="24">
        <v>1617.3</v>
      </c>
      <c r="D25" s="25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6">
        <v>-0.01</v>
      </c>
      <c r="C26" s="23">
        <v>1530</v>
      </c>
      <c r="D26" s="25">
        <f>(C26*B26)</f>
        <v>-15.3</v>
      </c>
      <c r="M26" t="s">
        <v>11</v>
      </c>
      <c r="N26" s="26">
        <f>($R$20/5)</f>
        <v>8.2455999999999998E-5</v>
      </c>
      <c r="O26" s="24">
        <f>($S$20*[1]Params!K15)</f>
        <v>1819.1520325992044</v>
      </c>
      <c r="P26" s="25">
        <f>(O26*N26)</f>
        <v>0.15</v>
      </c>
    </row>
    <row r="27" spans="2:21">
      <c r="B27" s="26">
        <v>0.01</v>
      </c>
      <c r="C27" s="24">
        <v>1500</v>
      </c>
      <c r="D27" s="25">
        <f>(C27*B27)</f>
        <v>15</v>
      </c>
      <c r="N27" s="26">
        <f>($R$20/5)</f>
        <v>8.2455999999999998E-5</v>
      </c>
      <c r="O27" s="24">
        <f>($S$20*[1]Params!K16)</f>
        <v>2425.5360434656059</v>
      </c>
      <c r="P27" s="25">
        <f>(O27*N27)</f>
        <v>0.19999999999999998</v>
      </c>
    </row>
    <row r="28" spans="2:21">
      <c r="B28" s="26">
        <v>-0.01</v>
      </c>
      <c r="C28" s="23">
        <f>(D28/B28)</f>
        <v>1443</v>
      </c>
      <c r="D28" s="25">
        <v>-14.43</v>
      </c>
      <c r="N28" s="26">
        <f>($R$20/5)</f>
        <v>8.2455999999999998E-5</v>
      </c>
      <c r="O28" s="24">
        <f>($S$20*[1]Params!K17)</f>
        <v>4851.0720869312117</v>
      </c>
      <c r="P28" s="25">
        <f>(O28*N28)</f>
        <v>0.39999999999999997</v>
      </c>
    </row>
    <row r="29" spans="2:21">
      <c r="B29" s="26">
        <v>0.01</v>
      </c>
      <c r="C29" s="24">
        <v>1428.89</v>
      </c>
      <c r="D29" s="25">
        <f>(C29*B29)</f>
        <v>14.288900000000002</v>
      </c>
      <c r="N29" s="26">
        <f>($R$20/5)</f>
        <v>8.2455999999999998E-5</v>
      </c>
      <c r="O29" s="24">
        <f>($S$20*[1]Params!K18)</f>
        <v>9702.1441738624235</v>
      </c>
      <c r="P29" s="25">
        <f>(O29*N29)</f>
        <v>0.79999999999999993</v>
      </c>
    </row>
    <row r="30" spans="2:21">
      <c r="B30" s="26">
        <v>-0.01</v>
      </c>
      <c r="C30" s="23">
        <v>1402.5</v>
      </c>
      <c r="D30" s="25">
        <f>(C30*B30)</f>
        <v>-14.025</v>
      </c>
    </row>
    <row r="31" spans="2:21">
      <c r="B31" s="26">
        <v>0.01</v>
      </c>
      <c r="C31" s="24">
        <v>1372</v>
      </c>
      <c r="D31" s="25">
        <f>(C31*B31)</f>
        <v>13.72</v>
      </c>
      <c r="P31" s="25">
        <f>(SUM(P26:P29))</f>
        <v>1.5499999999999998</v>
      </c>
    </row>
    <row r="32" spans="2:21">
      <c r="B32" s="26">
        <v>-0.01</v>
      </c>
      <c r="C32" s="23">
        <v>1286.6600000000001</v>
      </c>
      <c r="D32" s="25">
        <f>(C32*B32)</f>
        <v>-12.866600000000002</v>
      </c>
      <c r="R32">
        <f>(SUM(R5:R31))</f>
        <v>0.54501277000000004</v>
      </c>
      <c r="T32" s="25">
        <f>(SUM(T5:T31))</f>
        <v>1479.6589255217843</v>
      </c>
    </row>
    <row r="33" spans="2:16">
      <c r="B33" s="26">
        <v>0.01</v>
      </c>
      <c r="C33" s="24">
        <v>1250</v>
      </c>
      <c r="D33" s="25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6">
        <v>-0.01</v>
      </c>
      <c r="C34" s="23">
        <f>(D34/B34)</f>
        <v>1219.326523</v>
      </c>
      <c r="D34" s="25">
        <v>-12.19326523</v>
      </c>
      <c r="M34" t="s">
        <v>11</v>
      </c>
      <c r="N34">
        <f>($R$23/5)</f>
        <v>1.0639912E-2</v>
      </c>
      <c r="O34" s="24">
        <f>($S$23*[1]Params!K15)</f>
        <v>2767.4101063993767</v>
      </c>
      <c r="P34" s="25">
        <f>(O34*N34)</f>
        <v>29.445000000000004</v>
      </c>
    </row>
    <row r="35" spans="2:16">
      <c r="B35" s="26">
        <v>0.11454133</v>
      </c>
      <c r="C35" s="24">
        <f>(D35/B35)</f>
        <v>1671.0125506662093</v>
      </c>
      <c r="D35" s="25">
        <v>191.4</v>
      </c>
      <c r="E35" t="s">
        <v>10</v>
      </c>
      <c r="N35">
        <f>($R$23/5)</f>
        <v>1.0639912E-2</v>
      </c>
      <c r="O35" s="24">
        <f>($S$23*[1]Params!K16)</f>
        <v>3689.8801418658354</v>
      </c>
      <c r="P35" s="25">
        <f>(O35*N35)</f>
        <v>39.260000000000005</v>
      </c>
    </row>
    <row r="36" spans="2:16">
      <c r="B36" s="26">
        <v>2.3335890000000001E-2</v>
      </c>
      <c r="C36" s="24">
        <f>(D36/B36)</f>
        <v>1709.8126533849788</v>
      </c>
      <c r="D36" s="25">
        <v>39.9</v>
      </c>
      <c r="E36" t="s">
        <v>15</v>
      </c>
      <c r="N36">
        <f>($R$23/5)</f>
        <v>1.0639912E-2</v>
      </c>
      <c r="O36" s="24">
        <f>($S$23*[1]Params!K17)</f>
        <v>7379.7602837316708</v>
      </c>
      <c r="P36" s="25">
        <f>(O36*N36)</f>
        <v>78.52000000000001</v>
      </c>
    </row>
    <row r="37" spans="2:16">
      <c r="B37" s="26">
        <v>4.1228E-4</v>
      </c>
      <c r="C37" s="24">
        <f>(D37/B37)</f>
        <v>1212.7680217328029</v>
      </c>
      <c r="D37" s="25">
        <v>0.5</v>
      </c>
      <c r="N37">
        <f>($R$23/5)</f>
        <v>1.0639912E-2</v>
      </c>
      <c r="O37" s="24">
        <f>($S$23*[1]Params!K18)</f>
        <v>14759.520567463342</v>
      </c>
      <c r="P37" s="25">
        <f>(O37*N37)</f>
        <v>157.04000000000002</v>
      </c>
    </row>
    <row r="38" spans="2:16">
      <c r="B38" s="26">
        <f>(-0.000705)</f>
        <v>-7.0500000000000001E-4</v>
      </c>
      <c r="C38" s="23">
        <v>1605</v>
      </c>
      <c r="D38" s="25">
        <f>(C38*B38)</f>
        <v>-1.1315250000000001</v>
      </c>
    </row>
    <row r="39" spans="2:16">
      <c r="B39" s="26">
        <f>(-0.00535-B38)</f>
        <v>-4.6449999999999998E-3</v>
      </c>
      <c r="C39" s="23">
        <v>1605</v>
      </c>
      <c r="D39" s="25">
        <f>(C39*B39)</f>
        <v>-7.4552249999999995</v>
      </c>
      <c r="P39" s="25">
        <f>(SUM(P34:P37))</f>
        <v>304.26500000000004</v>
      </c>
    </row>
    <row r="40" spans="2:16">
      <c r="B40" s="26">
        <v>5.319956E-2</v>
      </c>
      <c r="C40" s="24">
        <f>(D40/B40)</f>
        <v>1844.9400709329177</v>
      </c>
      <c r="D40" s="25">
        <v>98.15</v>
      </c>
      <c r="E40" t="s">
        <v>18</v>
      </c>
    </row>
    <row r="41" spans="2:16">
      <c r="B41" s="26">
        <v>2.0379600000000001E-2</v>
      </c>
      <c r="C41" s="24">
        <v>2275</v>
      </c>
      <c r="D41" s="25">
        <f>C41*B41</f>
        <v>46.363590000000002</v>
      </c>
      <c r="E41" t="s">
        <v>19</v>
      </c>
    </row>
    <row r="42" spans="2:16">
      <c r="F42" t="s">
        <v>9</v>
      </c>
      <c r="G42" s="24">
        <f>D43/B43</f>
        <v>2699.0504231986442</v>
      </c>
    </row>
    <row r="43" spans="2:16">
      <c r="B43">
        <f>(SUM(B5:B42))</f>
        <v>0.56539236999999998</v>
      </c>
      <c r="D43" s="25">
        <f>(SUM(D5:D42))</f>
        <v>1526.0225155217845</v>
      </c>
    </row>
  </sheetData>
  <conditionalFormatting sqref="C5:C7 C11 C18:C25 C27 C29 C31 C33 C35:C37 C40:C41 N6 O11:O13 O19:O21 O26:O29 O34:O37 S5:S7 S10:S15 S18:S20 S23">
    <cfRule type="cellIs" dxfId="297" priority="37" operator="lessThan">
      <formula>$J$3</formula>
    </cfRule>
    <cfRule type="cellIs" dxfId="296" priority="38" operator="greaterThan">
      <formula>$J$3</formula>
    </cfRule>
  </conditionalFormatting>
  <conditionalFormatting sqref="G42">
    <cfRule type="cellIs" dxfId="295" priority="21" operator="lessThan">
      <formula>$J$3</formula>
    </cfRule>
    <cfRule type="cellIs" dxfId="294" priority="22" operator="greaterThan">
      <formula>$J$3</formula>
    </cfRule>
  </conditionalFormatting>
  <conditionalFormatting sqref="O3">
    <cfRule type="cellIs" dxfId="293" priority="9" operator="greaterThan">
      <formula>$J$3</formula>
    </cfRule>
    <cfRule type="cellIs" dxfId="292" priority="10" operator="lessThan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N13" sqref="N1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45">
        <v>0.19771374672654959</v>
      </c>
      <c r="O3" s="24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12.516479918531378</v>
      </c>
      <c r="K4" s="4">
        <f>(J4/D14-1)</f>
        <v>0.27382995719576186</v>
      </c>
      <c r="R4" t="s">
        <v>5</v>
      </c>
      <c r="S4" t="s">
        <v>6</v>
      </c>
      <c r="T4" t="s">
        <v>7</v>
      </c>
    </row>
    <row r="5" spans="2:21">
      <c r="B5" s="35">
        <v>60.14</v>
      </c>
      <c r="C5" s="23">
        <f>(D5/B5)</f>
        <v>0.16877286331892252</v>
      </c>
      <c r="D5" s="23">
        <v>10.15</v>
      </c>
      <c r="N5" t="s">
        <v>32</v>
      </c>
      <c r="O5" t="s">
        <v>1</v>
      </c>
      <c r="P5" t="s">
        <v>2</v>
      </c>
      <c r="R5" s="35">
        <f>(B5)</f>
        <v>60.14</v>
      </c>
      <c r="S5" s="23">
        <f>(T5/R5)</f>
        <v>0.16877286331892252</v>
      </c>
      <c r="T5" s="23">
        <f>D5</f>
        <v>10.15</v>
      </c>
    </row>
    <row r="6" spans="2:21">
      <c r="B6" s="2">
        <v>0.56325857000000001</v>
      </c>
      <c r="C6" s="28">
        <v>0</v>
      </c>
      <c r="D6" s="28">
        <f>(B6*C6)</f>
        <v>0</v>
      </c>
      <c r="E6" s="23">
        <f>(B6*J3)</f>
        <v>0.1113639622505385</v>
      </c>
      <c r="M6" t="s">
        <v>11</v>
      </c>
      <c r="N6" s="35">
        <f>($B$14/5)</f>
        <v>12.661213624000002</v>
      </c>
      <c r="O6" s="23">
        <f>($C$5*[1]Params!K8)</f>
        <v>0.21940472231459929</v>
      </c>
      <c r="P6" s="23">
        <f>(O6*N6)</f>
        <v>2.7779300593395417</v>
      </c>
      <c r="R6" s="47">
        <f>(B6)</f>
        <v>0.56325857000000001</v>
      </c>
      <c r="S6" s="28">
        <v>0</v>
      </c>
      <c r="T6" s="28">
        <f>(D6)</f>
        <v>0</v>
      </c>
      <c r="U6" s="23">
        <f>(E6)</f>
        <v>0.1113639622505385</v>
      </c>
    </row>
    <row r="7" spans="2:21">
      <c r="B7" s="35">
        <v>-12.028</v>
      </c>
      <c r="C7" s="23">
        <f>(D7/B7)</f>
        <v>0.21200000000000002</v>
      </c>
      <c r="D7" s="23">
        <v>-2.5499360000000002</v>
      </c>
      <c r="N7" s="35">
        <f>($B$14/5)</f>
        <v>12.661213624000002</v>
      </c>
      <c r="O7" s="23">
        <f>($C$5*[1]Params!K9)</f>
        <v>0.27003658131027602</v>
      </c>
      <c r="P7" s="23">
        <f>(O7*N7)</f>
        <v>3.4189908422640509</v>
      </c>
      <c r="R7" s="35">
        <f>SUM(B7:B10)</f>
        <v>2.6028095500000017</v>
      </c>
      <c r="S7" s="23">
        <v>0</v>
      </c>
      <c r="T7" s="23">
        <f>SUM(D7:D10)</f>
        <v>-0.3241360000000002</v>
      </c>
      <c r="U7" s="24"/>
    </row>
    <row r="8" spans="2:21">
      <c r="B8" s="35">
        <v>-12</v>
      </c>
      <c r="C8" s="23">
        <f>(D8/B8)</f>
        <v>0.255</v>
      </c>
      <c r="D8" s="23">
        <v>-3.06</v>
      </c>
      <c r="N8" s="35">
        <f>($B$14/5)</f>
        <v>12.661213624000002</v>
      </c>
      <c r="O8" s="23">
        <f>($C$5*[1]Params!K10)</f>
        <v>0.37130029930162955</v>
      </c>
      <c r="P8" s="23">
        <f>(O8*N8)</f>
        <v>4.7011124081130706</v>
      </c>
      <c r="R8" s="35"/>
      <c r="S8" s="23"/>
      <c r="T8" s="23"/>
    </row>
    <row r="9" spans="2:21">
      <c r="B9" s="35">
        <v>13.39371616</v>
      </c>
      <c r="C9" s="23">
        <f>(D9/B9)</f>
        <v>0.21471262834346938</v>
      </c>
      <c r="D9" s="23">
        <v>2.8757999999999999</v>
      </c>
      <c r="N9" s="35">
        <f>($B$14/5)</f>
        <v>12.661213624000002</v>
      </c>
      <c r="O9" s="23">
        <f>($C$5*[1]Params!K11)</f>
        <v>0.84386431659461258</v>
      </c>
      <c r="P9" s="23">
        <f>(O9*N9)</f>
        <v>10.684346382075161</v>
      </c>
    </row>
    <row r="10" spans="2:21">
      <c r="B10" s="35">
        <v>13.23709339</v>
      </c>
      <c r="C10" s="23">
        <f>(D10/B10)</f>
        <v>0.18206413817557876</v>
      </c>
      <c r="D10" s="23">
        <v>2.41</v>
      </c>
    </row>
    <row r="12" spans="2:21">
      <c r="P12" s="23">
        <f>(SUM(P6:P9))</f>
        <v>21.582379691791822</v>
      </c>
    </row>
    <row r="13" spans="2:21">
      <c r="F13" t="s">
        <v>9</v>
      </c>
      <c r="G13" s="23">
        <f>(D14/B14)</f>
        <v>0.15521204035882552</v>
      </c>
    </row>
    <row r="14" spans="2:21">
      <c r="B14" s="35">
        <f>(SUM(B5:B13))</f>
        <v>63.306068120000006</v>
      </c>
      <c r="D14" s="23">
        <f>(SUM(D5:D13))</f>
        <v>9.8258639999999993</v>
      </c>
    </row>
    <row r="17" spans="11:20">
      <c r="N17" s="35"/>
      <c r="R17" s="35">
        <f>(SUM(R5:R16))</f>
        <v>63.306068120000006</v>
      </c>
      <c r="T17" s="23">
        <f>(SUM(T5:T16))</f>
        <v>9.8258639999999993</v>
      </c>
    </row>
    <row r="20" spans="11:20">
      <c r="K20" s="24"/>
    </row>
  </sheetData>
  <conditionalFormatting sqref="C5">
    <cfRule type="cellIs" dxfId="235" priority="13" operator="lessThan">
      <formula>$J$3</formula>
    </cfRule>
    <cfRule type="cellIs" dxfId="234" priority="14" operator="greaterThan">
      <formula>$J$3</formula>
    </cfRule>
  </conditionalFormatting>
  <conditionalFormatting sqref="C9:C10">
    <cfRule type="cellIs" dxfId="233" priority="11" operator="lessThan">
      <formula>$J$3</formula>
    </cfRule>
    <cfRule type="cellIs" dxfId="232" priority="12" operator="greaterThan">
      <formula>$J$3</formula>
    </cfRule>
  </conditionalFormatting>
  <conditionalFormatting sqref="O6:O9">
    <cfRule type="cellIs" dxfId="231" priority="9" operator="lessThan">
      <formula>$J$3</formula>
    </cfRule>
    <cfRule type="cellIs" dxfId="230" priority="10" operator="greaterThan">
      <formula>$J$3</formula>
    </cfRule>
  </conditionalFormatting>
  <conditionalFormatting sqref="S5 S7:S8">
    <cfRule type="cellIs" dxfId="229" priority="5" operator="lessThan">
      <formula>$J$3</formula>
    </cfRule>
    <cfRule type="cellIs" dxfId="228" priority="6" operator="greaterThan">
      <formula>$J$3</formula>
    </cfRule>
  </conditionalFormatting>
  <conditionalFormatting sqref="O6">
    <cfRule type="cellIs" dxfId="227" priority="3" operator="lessThan">
      <formula>$J$3</formula>
    </cfRule>
    <cfRule type="cellIs" dxfId="226" priority="4" operator="greaterThan">
      <formula>$J$3</formula>
    </cfRule>
  </conditionalFormatting>
  <conditionalFormatting sqref="G13">
    <cfRule type="cellIs" dxfId="225" priority="1" operator="lessThan">
      <formula>$J$3</formula>
    </cfRule>
    <cfRule type="cellIs" dxfId="224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1.619595072219949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22.441225137923229</v>
      </c>
      <c r="K4" s="4">
        <f>(J4/D14-1)</f>
        <v>-0.43487814945127823</v>
      </c>
      <c r="R4" t="s">
        <v>5</v>
      </c>
      <c r="S4" t="s">
        <v>6</v>
      </c>
      <c r="T4" t="s">
        <v>7</v>
      </c>
    </row>
    <row r="5" spans="2:21">
      <c r="B5" s="35">
        <v>13.21219001</v>
      </c>
      <c r="C5" s="23">
        <f>(D5/B5)</f>
        <v>3.0199384030808378</v>
      </c>
      <c r="D5" s="23">
        <v>39.9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0">
        <f>(B6)</f>
        <v>0.57793976000000002</v>
      </c>
      <c r="S5" s="28">
        <v>0</v>
      </c>
      <c r="T5" s="29">
        <f>(D6)</f>
        <v>0</v>
      </c>
      <c r="U5" s="23">
        <f>(R5*J3)</f>
        <v>0.93602838733598004</v>
      </c>
    </row>
    <row r="6" spans="2:21">
      <c r="B6" s="47">
        <v>0.57793976000000002</v>
      </c>
      <c r="C6" s="28">
        <v>0</v>
      </c>
      <c r="D6" s="29">
        <f>(B6*C6)</f>
        <v>0</v>
      </c>
      <c r="E6" s="23">
        <f>(B6*J3)</f>
        <v>0.93602838733598004</v>
      </c>
      <c r="M6" t="s">
        <v>11</v>
      </c>
      <c r="N6" s="35">
        <f>(SUM(R5:R7)/5)</f>
        <v>2.7712143019999997</v>
      </c>
      <c r="O6" s="23">
        <f>($C$5*[1]Params!K8)</f>
        <v>3.9259199240050893</v>
      </c>
      <c r="P6" s="23">
        <f>(O6*N6)</f>
        <v>10.879565441909655</v>
      </c>
      <c r="R6" s="35">
        <f>(B5)</f>
        <v>13.21219001</v>
      </c>
      <c r="S6" s="23">
        <f>(T6/R6)</f>
        <v>3.0199384030808378</v>
      </c>
      <c r="T6" s="23">
        <f>(D5)</f>
        <v>39.9</v>
      </c>
      <c r="U6" t="s">
        <v>15</v>
      </c>
    </row>
    <row r="7" spans="2:21">
      <c r="B7" s="35">
        <v>-0.2273</v>
      </c>
      <c r="C7" s="23">
        <f t="shared" ref="C7:C12" si="0">(D7/B7)</f>
        <v>4.95</v>
      </c>
      <c r="D7" s="23">
        <v>-1.125135</v>
      </c>
      <c r="N7" s="35">
        <f>(SUM(R5:R7)/5)</f>
        <v>2.7712143019999997</v>
      </c>
      <c r="O7" s="23">
        <f>($C$5*[1]Params!K9)</f>
        <v>4.8319014449293407</v>
      </c>
      <c r="P7" s="23">
        <f>(O7*N7)</f>
        <v>13.390234390042654</v>
      </c>
      <c r="R7" s="35">
        <f>(SUM(B7:B12))</f>
        <v>6.5941739999999971E-2</v>
      </c>
      <c r="S7" s="23">
        <v>0</v>
      </c>
      <c r="T7" s="23">
        <f>(SUM(D7:D12))</f>
        <v>-0.18958158999999997</v>
      </c>
      <c r="U7" s="24">
        <f>-T7+R7*J3</f>
        <v>0.296380507157609</v>
      </c>
    </row>
    <row r="8" spans="2:21">
      <c r="B8" s="35">
        <v>-0.30499999999999999</v>
      </c>
      <c r="C8" s="23">
        <f t="shared" si="0"/>
        <v>6.2656189508196727</v>
      </c>
      <c r="D8" s="23">
        <v>-1.91101378</v>
      </c>
      <c r="N8" s="35">
        <f>(SUM(R5:R7)/5)</f>
        <v>2.7712143019999997</v>
      </c>
      <c r="O8" s="23">
        <f>($C$5*[1]Params!K10)</f>
        <v>6.6438644867778436</v>
      </c>
      <c r="P8" s="23">
        <f>(O8*N8)</f>
        <v>18.411572286308648</v>
      </c>
    </row>
    <row r="9" spans="2:21">
      <c r="B9" s="35">
        <v>0.34203370999999999</v>
      </c>
      <c r="C9" s="23">
        <f t="shared" si="0"/>
        <v>5.2626391708583347</v>
      </c>
      <c r="D9" s="23">
        <v>1.8</v>
      </c>
      <c r="N9" s="35">
        <f>(SUM(R5:R7)/5)</f>
        <v>2.7712143019999997</v>
      </c>
      <c r="O9" s="23">
        <f>($C$5*[1]Params!K11)</f>
        <v>15.099692015404189</v>
      </c>
      <c r="P9" s="23">
        <f>(O9*N9)</f>
        <v>41.844482468883292</v>
      </c>
    </row>
    <row r="10" spans="2:21">
      <c r="B10" s="35">
        <v>0.25620802999999998</v>
      </c>
      <c r="C10" s="23">
        <f t="shared" si="0"/>
        <v>4.1372629889859427</v>
      </c>
      <c r="D10" s="23">
        <v>1.06</v>
      </c>
    </row>
    <row r="11" spans="2:21">
      <c r="B11" s="35">
        <v>-0.4</v>
      </c>
      <c r="C11" s="23">
        <f t="shared" si="0"/>
        <v>4.1562849000000002</v>
      </c>
      <c r="D11" s="23">
        <v>-1.6625139600000001</v>
      </c>
      <c r="P11" s="23">
        <f>(SUM(P6:P9))</f>
        <v>84.525854587144238</v>
      </c>
    </row>
    <row r="12" spans="2:21">
      <c r="B12" s="35">
        <v>0.4</v>
      </c>
      <c r="C12" s="23">
        <f t="shared" si="0"/>
        <v>4.1227028749999999</v>
      </c>
      <c r="D12" s="23">
        <f>(1.64908115)</f>
        <v>1.64908115</v>
      </c>
    </row>
    <row r="13" spans="2:21">
      <c r="F13" t="s">
        <v>9</v>
      </c>
      <c r="G13" s="23">
        <f>(D14/B14)</f>
        <v>2.8659218726852544</v>
      </c>
    </row>
    <row r="14" spans="2:21">
      <c r="B14" s="35">
        <f>(SUM(B5:B13))</f>
        <v>13.856071510000001</v>
      </c>
      <c r="D14" s="23">
        <f>(SUM(D5:D13))</f>
        <v>39.710418410000003</v>
      </c>
      <c r="R14" s="35">
        <f>(SUM(R5:R13))</f>
        <v>13.85607151</v>
      </c>
      <c r="T14" s="23">
        <f>(SUM(T5:T13))</f>
        <v>39.710418409999996</v>
      </c>
    </row>
    <row r="22" spans="4:4">
      <c r="D22" s="35"/>
    </row>
  </sheetData>
  <conditionalFormatting sqref="C5 C7:C12">
    <cfRule type="cellIs" dxfId="223" priority="7" operator="lessThan">
      <formula>$J$3</formula>
    </cfRule>
    <cfRule type="cellIs" dxfId="222" priority="8" operator="greaterThan">
      <formula>$J$3</formula>
    </cfRule>
  </conditionalFormatting>
  <conditionalFormatting sqref="O6:O9">
    <cfRule type="cellIs" dxfId="221" priority="5" operator="lessThan">
      <formula>$J$3</formula>
    </cfRule>
    <cfRule type="cellIs" dxfId="220" priority="6" operator="greaterThan">
      <formula>$J$3</formula>
    </cfRule>
  </conditionalFormatting>
  <conditionalFormatting sqref="S6:S7">
    <cfRule type="cellIs" dxfId="219" priority="3" operator="lessThan">
      <formula>$J$3</formula>
    </cfRule>
    <cfRule type="cellIs" dxfId="218" priority="4" operator="greaterThan">
      <formula>$J$3</formula>
    </cfRule>
  </conditionalFormatting>
  <conditionalFormatting sqref="G13">
    <cfRule type="cellIs" dxfId="217" priority="1" operator="lessThan">
      <formula>$J$3</formula>
    </cfRule>
    <cfRule type="cellIs" dxfId="216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I41" sqref="I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10.64749085875069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(B14*J3)</f>
        <v>13.033888495693509</v>
      </c>
      <c r="K4" s="4">
        <f>(J4/D14-1)</f>
        <v>0.19248751104240713</v>
      </c>
    </row>
    <row r="5" spans="2:16">
      <c r="B5" s="35">
        <v>1.1100000000000001</v>
      </c>
      <c r="C5" s="23">
        <f>(D5/B5)</f>
        <v>9.8468468468468462</v>
      </c>
      <c r="D5" s="23">
        <v>10.93</v>
      </c>
      <c r="N5" t="s">
        <v>32</v>
      </c>
      <c r="O5" t="s">
        <v>1</v>
      </c>
      <c r="P5" t="s">
        <v>2</v>
      </c>
    </row>
    <row r="6" spans="2:16">
      <c r="B6" s="35">
        <v>8.7936070000000005E-2</v>
      </c>
      <c r="C6" s="23">
        <v>0</v>
      </c>
      <c r="D6" s="23">
        <f>(B6*C6)</f>
        <v>0</v>
      </c>
      <c r="E6" s="23">
        <f>(B6*J3)</f>
        <v>0.93629850147946081</v>
      </c>
      <c r="M6" t="s">
        <v>11</v>
      </c>
      <c r="N6" s="1">
        <f>(SUM($B$5:$B$7)/5)</f>
        <v>0.24482554000000004</v>
      </c>
      <c r="O6" s="23">
        <f>($C$5*[1]Params!K8)</f>
        <v>12.800900900900901</v>
      </c>
      <c r="P6" s="23">
        <f>(O6*N6)</f>
        <v>3.1339874755495498</v>
      </c>
    </row>
    <row r="7" spans="2:16">
      <c r="B7" s="47">
        <v>2.619163E-2</v>
      </c>
      <c r="C7" s="28">
        <v>0</v>
      </c>
      <c r="D7" s="29">
        <f>(C7*B7)</f>
        <v>0</v>
      </c>
      <c r="E7" s="23">
        <f>(B7*J4)</f>
        <v>0.34137878494046098</v>
      </c>
      <c r="N7" s="1">
        <f>(SUM($B$5:$B$7)/5)</f>
        <v>0.24482554000000004</v>
      </c>
      <c r="O7" s="23">
        <f>($C$5*[1]Params!K9)</f>
        <v>15.754954954954954</v>
      </c>
      <c r="P7" s="23">
        <f>(O7*N7)</f>
        <v>3.857215354522523</v>
      </c>
    </row>
    <row r="8" spans="2:16">
      <c r="N8" s="1">
        <f>(SUM($B$5:$B$7)/5)</f>
        <v>0.24482554000000004</v>
      </c>
      <c r="O8" s="23">
        <f>($C$5*[1]Params!K10)</f>
        <v>21.663063063063063</v>
      </c>
      <c r="P8" s="23">
        <f>(O8*N8)</f>
        <v>5.3036711124684697</v>
      </c>
    </row>
    <row r="9" spans="2:16">
      <c r="N9" s="1">
        <f>(SUM($B$5:$B$7)/5)</f>
        <v>0.24482554000000004</v>
      </c>
      <c r="O9" s="23">
        <f>($C$5*[1]Params!K11)</f>
        <v>49.234234234234229</v>
      </c>
      <c r="P9" s="23">
        <f>(O9*N9)</f>
        <v>12.053797982882884</v>
      </c>
    </row>
    <row r="12" spans="2:16">
      <c r="P12" s="23">
        <f>(SUM(P6:P9))</f>
        <v>24.348671925423425</v>
      </c>
    </row>
    <row r="13" spans="2:16">
      <c r="F13" t="s">
        <v>9</v>
      </c>
      <c r="G13" s="23">
        <f>(D14/B14)</f>
        <v>8.9288070190716198</v>
      </c>
    </row>
    <row r="14" spans="2:16">
      <c r="B14" s="19">
        <f>(SUM(B5:B13))</f>
        <v>1.2241277000000002</v>
      </c>
      <c r="D14" s="23">
        <f>(SUM(D5:D13))</f>
        <v>10.93</v>
      </c>
    </row>
  </sheetData>
  <conditionalFormatting sqref="C5">
    <cfRule type="cellIs" dxfId="215" priority="5" operator="lessThan">
      <formula>$J$3</formula>
    </cfRule>
    <cfRule type="cellIs" dxfId="214" priority="6" operator="greaterThan">
      <formula>$J$3</formula>
    </cfRule>
  </conditionalFormatting>
  <conditionalFormatting sqref="O6:O9">
    <cfRule type="cellIs" dxfId="213" priority="3" operator="lessThan">
      <formula>$J$3</formula>
    </cfRule>
    <cfRule type="cellIs" dxfId="212" priority="4" operator="greaterThan">
      <formula>$J$3</formula>
    </cfRule>
  </conditionalFormatting>
  <conditionalFormatting sqref="G13">
    <cfRule type="cellIs" dxfId="211" priority="1" operator="lessThan">
      <formula>$J$3</formula>
    </cfRule>
    <cfRule type="cellIs" dxfId="210" priority="2" operator="greaterThan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>
  <dimension ref="B2:V32"/>
  <sheetViews>
    <sheetView workbookViewId="0">
      <selection activeCell="R32" sqref="R32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3">
        <v>43.177627876968081</v>
      </c>
      <c r="M3" t="s">
        <v>4</v>
      </c>
      <c r="N3" s="26">
        <f>(INDEX(N5:N23,MATCH(MAX(O20:O22,O6:O7),O5:O23,0))/0.9)</f>
        <v>0.15333333333333335</v>
      </c>
      <c r="O3" s="24">
        <f>(MAX(O20:O22,O6:O8)*0.85)</f>
        <v>30.745020976430972</v>
      </c>
      <c r="P3" s="45">
        <f>(O3*N3)</f>
        <v>4.7142365497194163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(B19*J3)</f>
        <v>59.03806981100125</v>
      </c>
      <c r="K4" s="4">
        <f>(J4/D19-1)</f>
        <v>-47.048889960053948</v>
      </c>
      <c r="R4" t="s">
        <v>5</v>
      </c>
      <c r="S4" t="s">
        <v>6</v>
      </c>
      <c r="T4" t="s">
        <v>7</v>
      </c>
    </row>
    <row r="5" spans="2:22">
      <c r="B5" s="26">
        <v>2.5281102500000001</v>
      </c>
      <c r="C5" s="23">
        <f>(D5/B5)</f>
        <v>15.782539547078692</v>
      </c>
      <c r="D5" s="23">
        <v>39.9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7">
        <f>(B6)</f>
        <v>1.5850309999999999E-2</v>
      </c>
      <c r="S5" s="28">
        <v>0</v>
      </c>
      <c r="T5" s="29">
        <f>(D6)</f>
        <v>0</v>
      </c>
      <c r="U5" s="23">
        <f>(R5*J3)</f>
        <v>0.68437878691458598</v>
      </c>
    </row>
    <row r="6" spans="2:22">
      <c r="B6" s="27">
        <v>1.5850309999999999E-2</v>
      </c>
      <c r="C6" s="28">
        <v>0</v>
      </c>
      <c r="D6" s="29">
        <f>(B6*C6)</f>
        <v>0</v>
      </c>
      <c r="E6" s="23">
        <f>(B6*J3)</f>
        <v>0.68437878691458598</v>
      </c>
      <c r="M6" t="s">
        <v>11</v>
      </c>
      <c r="N6" s="26">
        <f>($B$5+$R$7)/5</f>
        <v>0.51208146600000004</v>
      </c>
      <c r="O6" s="23">
        <f>($C$5*[1]Params!K8)</f>
        <v>20.5173014112023</v>
      </c>
      <c r="P6" s="23">
        <f>(O6*N6)</f>
        <v>10.506529785012344</v>
      </c>
      <c r="Q6" t="s">
        <v>12</v>
      </c>
      <c r="R6" s="26">
        <f>B5+B13+B15+B17</f>
        <v>1.0298102500000001</v>
      </c>
      <c r="S6" s="23">
        <f>(T6/R6)</f>
        <v>16.673103613019968</v>
      </c>
      <c r="T6" s="23">
        <f>D5-(-B13-B15)*15.13+B17*15.25</f>
        <v>17.170133</v>
      </c>
      <c r="U6" t="s">
        <v>15</v>
      </c>
    </row>
    <row r="7" spans="2:22">
      <c r="B7" s="26">
        <v>-7.17E-2</v>
      </c>
      <c r="C7" s="23">
        <f t="shared" ref="C7:C17" si="0">(D7/B7)</f>
        <v>15.79</v>
      </c>
      <c r="D7" s="23">
        <v>-1.1321429999999999</v>
      </c>
      <c r="N7" s="26">
        <f>-B15</f>
        <v>0.49669999999999997</v>
      </c>
      <c r="O7" s="23">
        <f>P7/N7</f>
        <v>24.414971270384541</v>
      </c>
      <c r="P7" s="23">
        <f>-D15</f>
        <v>12.126916230000001</v>
      </c>
      <c r="Q7" t="s">
        <v>12</v>
      </c>
      <c r="R7" s="26">
        <f>(B7+B11+B8+B9)</f>
        <v>3.2297079999999992E-2</v>
      </c>
      <c r="S7" s="23">
        <v>0</v>
      </c>
      <c r="T7" s="23">
        <f>D7+D11+D8+D9</f>
        <v>-0.2036548899999997</v>
      </c>
      <c r="U7" t="s">
        <v>83</v>
      </c>
      <c r="V7" s="24">
        <f>-T7+R7*J3</f>
        <v>1.5981661917526677</v>
      </c>
    </row>
    <row r="8" spans="2:22">
      <c r="B8">
        <v>-0.114356</v>
      </c>
      <c r="C8" s="23">
        <f t="shared" si="0"/>
        <v>20.563082741613908</v>
      </c>
      <c r="D8" s="23">
        <v>-2.3515118899999998</v>
      </c>
      <c r="N8" s="26">
        <f>-B17</f>
        <v>0.50490000000000002</v>
      </c>
      <c r="O8" s="23">
        <f>P8/N8</f>
        <v>36.170612913448203</v>
      </c>
      <c r="P8" s="23">
        <f>-D17</f>
        <v>18.262542459999999</v>
      </c>
      <c r="Q8" t="s">
        <v>12</v>
      </c>
      <c r="R8" s="26">
        <f>(B10)+B12+B14+B16</f>
        <v>0.28937245</v>
      </c>
      <c r="S8" s="23">
        <f>(T8/R8)</f>
        <v>15.368169983009782</v>
      </c>
      <c r="T8" s="23">
        <f>(D10)-(-B12-B14-B16)*14.31</f>
        <v>4.4471249999999989</v>
      </c>
      <c r="U8" t="str">
        <f>E10</f>
        <v>DCA4</v>
      </c>
    </row>
    <row r="9" spans="2:22">
      <c r="B9" s="26">
        <v>0.12727869999999999</v>
      </c>
      <c r="C9" s="23">
        <f t="shared" si="0"/>
        <v>17.442038612902241</v>
      </c>
      <c r="D9" s="23">
        <v>2.2200000000000002</v>
      </c>
      <c r="N9" s="26">
        <f>4*($B$5+$R$7+R5)/5-N6-N7-N8</f>
        <v>0.54732464600000019</v>
      </c>
      <c r="O9" s="23">
        <f>($S$6*[1]Params!K11)</f>
        <v>83.365518065099849</v>
      </c>
      <c r="P9" s="23">
        <f>(O9*N9)</f>
        <v>45.628002663587395</v>
      </c>
      <c r="R9" s="26">
        <f t="shared" ref="R9:R14" si="1">B12-B12</f>
        <v>0</v>
      </c>
      <c r="S9" s="24">
        <v>0</v>
      </c>
      <c r="T9" s="24">
        <f>D12-B12*14.31</f>
        <v>-0.58156317999999962</v>
      </c>
    </row>
    <row r="10" spans="2:22">
      <c r="B10" s="26">
        <v>0.70187244999999998</v>
      </c>
      <c r="C10" s="23">
        <f t="shared" si="0"/>
        <v>14.746269069258952</v>
      </c>
      <c r="D10" s="23">
        <v>10.35</v>
      </c>
      <c r="E10" t="s">
        <v>84</v>
      </c>
      <c r="R10" s="26">
        <f t="shared" si="1"/>
        <v>0</v>
      </c>
      <c r="S10" s="24">
        <v>0</v>
      </c>
      <c r="T10" s="24">
        <f>D13-B13*15.13</f>
        <v>-3.3300066700000004</v>
      </c>
    </row>
    <row r="11" spans="2:22">
      <c r="B11" s="26">
        <v>9.1074379999999996E-2</v>
      </c>
      <c r="C11" s="23">
        <f t="shared" si="0"/>
        <v>11.638838496622212</v>
      </c>
      <c r="D11" s="23">
        <v>1.06</v>
      </c>
      <c r="P11" s="23">
        <f>(SUM(P6:P9))</f>
        <v>86.52399113859974</v>
      </c>
      <c r="R11" s="26">
        <f t="shared" si="1"/>
        <v>0</v>
      </c>
      <c r="S11" s="24">
        <v>0</v>
      </c>
      <c r="T11" s="24">
        <f>D14-B14*14.31</f>
        <v>-1.1646581099999997</v>
      </c>
    </row>
    <row r="12" spans="2:22">
      <c r="B12" s="26">
        <v>-0.13750000000000001</v>
      </c>
      <c r="C12" s="23">
        <f t="shared" si="0"/>
        <v>18.539550399999996</v>
      </c>
      <c r="D12" s="23">
        <v>-2.5491881799999998</v>
      </c>
      <c r="P12" s="23"/>
      <c r="R12" s="26">
        <f t="shared" si="1"/>
        <v>0</v>
      </c>
      <c r="S12" s="24">
        <v>0</v>
      </c>
      <c r="T12" s="24">
        <f>D15-B15*15.13</f>
        <v>-4.611845230000001</v>
      </c>
    </row>
    <row r="13" spans="2:22">
      <c r="B13" s="26">
        <v>-0.49669999999999997</v>
      </c>
      <c r="C13" s="23">
        <f t="shared" si="0"/>
        <v>21.834261465673446</v>
      </c>
      <c r="D13" s="23">
        <v>-10.84507767</v>
      </c>
      <c r="P13" s="23"/>
      <c r="R13" s="26">
        <f t="shared" si="1"/>
        <v>0</v>
      </c>
      <c r="S13" s="24">
        <v>0</v>
      </c>
      <c r="T13" s="24">
        <f>D16-B16*14.31</f>
        <v>-2.4447861399999997</v>
      </c>
    </row>
    <row r="14" spans="2:22">
      <c r="B14" s="26">
        <v>-0.13700000000000001</v>
      </c>
      <c r="C14" s="23">
        <f t="shared" si="0"/>
        <v>22.811154087591238</v>
      </c>
      <c r="D14" s="23">
        <f>-3.12512811</f>
        <v>-3.1251281099999999</v>
      </c>
      <c r="P14" s="23"/>
      <c r="R14" s="26">
        <f t="shared" si="1"/>
        <v>0</v>
      </c>
      <c r="T14" s="24">
        <f>D17-B17*15.25</f>
        <v>-10.562817459999998</v>
      </c>
    </row>
    <row r="15" spans="2:22">
      <c r="B15" s="26">
        <v>-0.49669999999999997</v>
      </c>
      <c r="C15" s="23">
        <f t="shared" si="0"/>
        <v>24.414971270384541</v>
      </c>
      <c r="D15" s="23">
        <v>-12.126916230000001</v>
      </c>
      <c r="P15" s="23"/>
    </row>
    <row r="16" spans="2:22">
      <c r="B16" s="26">
        <v>-0.13800000000000001</v>
      </c>
      <c r="C16" s="23">
        <f t="shared" si="0"/>
        <v>32.025841594202895</v>
      </c>
      <c r="D16" s="23">
        <v>-4.4195661399999997</v>
      </c>
      <c r="P16" s="23"/>
    </row>
    <row r="17" spans="2:20">
      <c r="B17" s="26">
        <v>-0.50490000000000002</v>
      </c>
      <c r="C17" s="23">
        <f t="shared" si="0"/>
        <v>36.170612913448203</v>
      </c>
      <c r="D17" s="23">
        <v>-18.262542459999999</v>
      </c>
      <c r="P17" s="23"/>
    </row>
    <row r="18" spans="2:20">
      <c r="F18" t="s">
        <v>9</v>
      </c>
      <c r="G18" s="23">
        <f>(D19/B19)</f>
        <v>-0.93764752884213709</v>
      </c>
    </row>
    <row r="19" spans="2:20">
      <c r="B19" s="26">
        <f>(SUM(B5:B18))</f>
        <v>1.3673300899999994</v>
      </c>
      <c r="D19" s="23">
        <f>(SUM(D5:D18))</f>
        <v>-1.2820736799999963</v>
      </c>
      <c r="M19" t="s">
        <v>84</v>
      </c>
      <c r="N19" t="s">
        <v>32</v>
      </c>
      <c r="O19" t="s">
        <v>1</v>
      </c>
      <c r="P19" t="s">
        <v>2</v>
      </c>
      <c r="R19" s="26">
        <f>(SUM(R5:R18))</f>
        <v>1.3673300900000003</v>
      </c>
      <c r="T19" s="23">
        <f>(SUM(T5:T18))</f>
        <v>-1.2820736799999981</v>
      </c>
    </row>
    <row r="20" spans="2:20">
      <c r="M20" t="s">
        <v>11</v>
      </c>
      <c r="N20" s="26">
        <f>-B12</f>
        <v>0.13750000000000001</v>
      </c>
      <c r="O20" s="23">
        <f>18.6</f>
        <v>18.600000000000001</v>
      </c>
      <c r="P20" s="23">
        <f>-D12</f>
        <v>2.5491881799999998</v>
      </c>
      <c r="Q20" t="s">
        <v>12</v>
      </c>
    </row>
    <row r="21" spans="2:20">
      <c r="N21" s="26">
        <f>-B14</f>
        <v>0.13700000000000001</v>
      </c>
      <c r="O21" s="23">
        <f>C14</f>
        <v>22.811154087591238</v>
      </c>
      <c r="P21" s="23">
        <f>-D14</f>
        <v>3.1251281099999999</v>
      </c>
      <c r="Q21" t="s">
        <v>12</v>
      </c>
    </row>
    <row r="22" spans="2:20">
      <c r="N22" s="26">
        <f>-B16</f>
        <v>0.13800000000000001</v>
      </c>
      <c r="O22" s="23">
        <f>C16</f>
        <v>32.025841594202895</v>
      </c>
      <c r="P22" s="23">
        <f>-D16</f>
        <v>4.4195661399999997</v>
      </c>
      <c r="Q22" t="s">
        <v>12</v>
      </c>
    </row>
    <row r="23" spans="2:20">
      <c r="N23" s="26">
        <f>4*($B$10)/5-N20-N21-N22</f>
        <v>0.14899795999999993</v>
      </c>
      <c r="O23" s="23">
        <f>($S$8*[1]Params!K11)</f>
        <v>76.840849915048906</v>
      </c>
      <c r="P23" s="23">
        <f>(O23*N23)</f>
        <v>11.449129882008455</v>
      </c>
    </row>
    <row r="25" spans="2:20">
      <c r="P25" s="23">
        <f>(SUM(P20:P23))</f>
        <v>21.543012312008457</v>
      </c>
    </row>
    <row r="32" spans="2:20">
      <c r="R32" s="24">
        <f>D19/B19</f>
        <v>-0.93764752884213709</v>
      </c>
    </row>
  </sheetData>
  <conditionalFormatting sqref="C5 C9:C11 G18 O9 O23 S6">
    <cfRule type="cellIs" dxfId="209" priority="19" operator="lessThan">
      <formula>$J$3</formula>
    </cfRule>
    <cfRule type="cellIs" dxfId="208" priority="20" operator="greaterThan">
      <formula>$J$3</formula>
    </cfRule>
  </conditionalFormatting>
  <conditionalFormatting sqref="S8">
    <cfRule type="cellIs" dxfId="207" priority="13" operator="lessThan">
      <formula>$J$3</formula>
    </cfRule>
    <cfRule type="cellIs" dxfId="206" priority="14" operator="greaterThan">
      <formula>$J$3</formula>
    </cfRule>
  </conditionalFormatting>
  <conditionalFormatting sqref="O3">
    <cfRule type="cellIs" dxfId="205" priority="1" operator="greaterThan">
      <formula>$J$3</formula>
    </cfRule>
    <cfRule type="cellIs" dxfId="204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R6" sqref="R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48">
        <v>3.8610959275293079E-3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4">
        <f>(B13*J3)</f>
        <v>3.6884518058693603</v>
      </c>
      <c r="K4" s="4">
        <f>(J4/D13-1)</f>
        <v>0.3023453842734789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48">
        <f t="shared" ref="C5:C11" si="0">(D5/B5)</f>
        <v>3.3950093362756749E-3</v>
      </c>
      <c r="D5" s="23">
        <v>3</v>
      </c>
      <c r="E5" t="s">
        <v>85</v>
      </c>
      <c r="N5" t="s">
        <v>32</v>
      </c>
      <c r="O5" t="s">
        <v>1</v>
      </c>
      <c r="P5" t="s">
        <v>2</v>
      </c>
      <c r="R5" s="19">
        <f>(B5)</f>
        <v>883.65</v>
      </c>
      <c r="S5" s="48">
        <f>(T5/R5)</f>
        <v>3.3950093362756749E-3</v>
      </c>
      <c r="T5" s="24">
        <f>(D5)</f>
        <v>3</v>
      </c>
    </row>
    <row r="6" spans="2:20">
      <c r="B6" s="19">
        <v>-170.21276596000001</v>
      </c>
      <c r="C6" s="48">
        <f t="shared" si="0"/>
        <v>4.5729766249314055E-3</v>
      </c>
      <c r="D6" s="23">
        <v>-0.77837900000000004</v>
      </c>
      <c r="M6" t="s">
        <v>11</v>
      </c>
      <c r="N6" s="19">
        <f>(($B$5+$R$6)/5)</f>
        <v>191.05724773999998</v>
      </c>
      <c r="O6" s="48">
        <f>($C$5*[1]Params!K8)</f>
        <v>4.4135121371583772E-3</v>
      </c>
      <c r="P6" s="23">
        <f>(O6*N6)</f>
        <v>0.84323348179256485</v>
      </c>
      <c r="R6" s="19">
        <f>(SUM(B6:B11))</f>
        <v>71.63623869999995</v>
      </c>
      <c r="S6" s="48">
        <v>0</v>
      </c>
      <c r="T6" s="24">
        <f>(SUM(D6:D11))</f>
        <v>-0.16783900000000007</v>
      </c>
    </row>
    <row r="7" spans="2:20">
      <c r="B7" s="19">
        <v>-175.57251908000001</v>
      </c>
      <c r="C7" s="48">
        <f t="shared" si="0"/>
        <v>5.0894468262020218E-3</v>
      </c>
      <c r="D7" s="23">
        <v>-0.893567</v>
      </c>
      <c r="N7" s="19">
        <f>(($B$5+$R$6)/5)</f>
        <v>191.05724773999998</v>
      </c>
      <c r="O7" s="48">
        <f>($C$5*[1]Params!K9)</f>
        <v>5.4320149380410803E-3</v>
      </c>
      <c r="P7" s="23">
        <f>(O7*N7)</f>
        <v>1.0378258237446953</v>
      </c>
      <c r="S7" s="48"/>
    </row>
    <row r="8" spans="2:20">
      <c r="B8" s="19">
        <v>-167.78523490000001</v>
      </c>
      <c r="C8" s="48">
        <f t="shared" si="0"/>
        <v>7.2337771599710653E-3</v>
      </c>
      <c r="D8" s="23">
        <v>-1.213721</v>
      </c>
      <c r="N8" s="19">
        <f>(($B$5+$R$6)/5)</f>
        <v>191.05724773999998</v>
      </c>
      <c r="O8" s="48">
        <f>($C$5*[1]Params!K10)</f>
        <v>7.4690205398064849E-3</v>
      </c>
      <c r="P8" s="23">
        <f>(O8*N8)</f>
        <v>1.4270105076489559</v>
      </c>
    </row>
    <row r="9" spans="2:20">
      <c r="B9" s="19">
        <v>196.03891277</v>
      </c>
      <c r="C9" s="48">
        <f t="shared" si="0"/>
        <v>5.7642178485542315E-3</v>
      </c>
      <c r="D9" s="23">
        <v>1.1300110000000001</v>
      </c>
      <c r="N9" s="19">
        <f>(($B$5+$R$6)/5)</f>
        <v>191.05724773999998</v>
      </c>
      <c r="O9" s="48">
        <f>($C$5*[1]Params!K11)</f>
        <v>1.6975046681378374E-2</v>
      </c>
      <c r="P9" s="23">
        <f>(O9*N9)</f>
        <v>3.2432056992021727</v>
      </c>
    </row>
    <row r="10" spans="2:20">
      <c r="B10" s="19">
        <v>197.79050007999999</v>
      </c>
      <c r="C10" s="48">
        <f t="shared" si="0"/>
        <v>4.2977797197346571E-3</v>
      </c>
      <c r="D10" s="23">
        <v>0.85006000000000004</v>
      </c>
    </row>
    <row r="11" spans="2:20">
      <c r="B11" s="19">
        <v>191.37734578999999</v>
      </c>
      <c r="C11" s="48">
        <f t="shared" si="0"/>
        <v>3.8549860588491342E-3</v>
      </c>
      <c r="D11" s="23">
        <v>0.737757</v>
      </c>
    </row>
    <row r="12" spans="2:20">
      <c r="F12" t="s">
        <v>9</v>
      </c>
      <c r="G12" s="48">
        <f>(D13/B13)</f>
        <v>2.9647250062495851E-3</v>
      </c>
      <c r="P12" s="23">
        <f>(SUM(P6:P9))</f>
        <v>6.5512755123883881</v>
      </c>
    </row>
    <row r="13" spans="2:20">
      <c r="B13">
        <f>(SUM(B5:B12))</f>
        <v>955.28623870000001</v>
      </c>
      <c r="D13" s="24">
        <f>(SUM(D5:D12))</f>
        <v>2.8321610000000002</v>
      </c>
    </row>
    <row r="15" spans="2:20">
      <c r="R15">
        <f>(SUM(R5:R14))</f>
        <v>955.2862386999999</v>
      </c>
      <c r="T15" s="24">
        <f>(SUM(T5:T14))</f>
        <v>2.8321610000000002</v>
      </c>
    </row>
  </sheetData>
  <conditionalFormatting sqref="C5">
    <cfRule type="cellIs" dxfId="203" priority="17" operator="lessThan">
      <formula>$J$3</formula>
    </cfRule>
    <cfRule type="cellIs" dxfId="202" priority="18" operator="greaterThan">
      <formula>$J$3</formula>
    </cfRule>
  </conditionalFormatting>
  <conditionalFormatting sqref="C9:C11">
    <cfRule type="cellIs" dxfId="201" priority="15" operator="lessThan">
      <formula>$J$3</formula>
    </cfRule>
    <cfRule type="cellIs" dxfId="200" priority="16" operator="greaterThan">
      <formula>$J$3</formula>
    </cfRule>
    <cfRule type="cellIs" dxfId="199" priority="13" operator="lessThan">
      <formula>$J$3</formula>
    </cfRule>
    <cfRule type="cellIs" dxfId="198" priority="14" operator="greaterThan">
      <formula>$J$3</formula>
    </cfRule>
  </conditionalFormatting>
  <conditionalFormatting sqref="O6:O9">
    <cfRule type="cellIs" dxfId="197" priority="11" operator="lessThan">
      <formula>$J$3</formula>
    </cfRule>
    <cfRule type="cellIs" dxfId="196" priority="12" operator="greaterThan">
      <formula>$J$3</formula>
    </cfRule>
    <cfRule type="cellIs" dxfId="195" priority="9" operator="lessThan">
      <formula>$J$3</formula>
    </cfRule>
    <cfRule type="cellIs" dxfId="194" priority="10" operator="greaterThan">
      <formula>$J$3</formula>
    </cfRule>
  </conditionalFormatting>
  <conditionalFormatting sqref="S5">
    <cfRule type="cellIs" dxfId="193" priority="7" operator="lessThan">
      <formula>$J$3</formula>
    </cfRule>
    <cfRule type="cellIs" dxfId="192" priority="8" operator="greaterThan">
      <formula>$J$3</formula>
    </cfRule>
    <cfRule type="cellIs" dxfId="191" priority="5" operator="lessThan">
      <formula>$J$3</formula>
    </cfRule>
    <cfRule type="cellIs" dxfId="190" priority="6" operator="greaterThan">
      <formula>$J$3</formula>
    </cfRule>
  </conditionalFormatting>
  <conditionalFormatting sqref="G12">
    <cfRule type="cellIs" dxfId="189" priority="3" operator="lessThan">
      <formula>$J$3</formula>
    </cfRule>
    <cfRule type="cellIs" dxfId="188" priority="4" operator="greaterThan">
      <formula>$J$3</formula>
    </cfRule>
    <cfRule type="cellIs" dxfId="187" priority="1" operator="lessThan">
      <formula>$J$3</formula>
    </cfRule>
    <cfRule type="cellIs" dxfId="186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S4" sqref="S4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23">
        <v>260.11046317579633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(B17*J3)</f>
        <v>185.65527109816747</v>
      </c>
      <c r="K4" s="4">
        <f>(J4/D17-1)</f>
        <v>-6.7769928313837768E-2</v>
      </c>
      <c r="R4" t="s">
        <v>5</v>
      </c>
      <c r="S4" t="s">
        <v>6</v>
      </c>
      <c r="T4" t="s">
        <v>7</v>
      </c>
    </row>
    <row r="5" spans="2:21">
      <c r="B5" s="49">
        <v>2.1511999999999999E-4</v>
      </c>
      <c r="C5" s="23">
        <v>244</v>
      </c>
      <c r="D5" s="23">
        <f>(B5*C5)</f>
        <v>5.2489279999999999E-2</v>
      </c>
      <c r="M5" t="s">
        <v>10</v>
      </c>
      <c r="N5" t="s">
        <v>32</v>
      </c>
      <c r="O5" t="s">
        <v>1</v>
      </c>
      <c r="P5" t="s">
        <v>2</v>
      </c>
      <c r="R5" s="49">
        <f>(B5+B13+B9)</f>
        <v>2.31774E-3</v>
      </c>
      <c r="S5" s="23">
        <f>(T5/R5)</f>
        <v>249.20103203983189</v>
      </c>
      <c r="T5" s="23">
        <f>(D5+D13+D9)</f>
        <v>0.57758319999999996</v>
      </c>
    </row>
    <row r="6" spans="2:21">
      <c r="B6" s="49">
        <v>6.6478800000000001E-3</v>
      </c>
      <c r="C6" s="23">
        <v>373</v>
      </c>
      <c r="D6" s="23">
        <f>(C6*B6)</f>
        <v>2.4796592400000002</v>
      </c>
      <c r="M6" t="s">
        <v>11</v>
      </c>
      <c r="N6" s="26">
        <f>($R$8/5)</f>
        <v>0.11221212</v>
      </c>
      <c r="O6" s="23">
        <f>($S$8*[1]Params!K8)</f>
        <v>369.0350026360789</v>
      </c>
      <c r="P6" s="23">
        <f>(O6*N6)</f>
        <v>41.410200000000003</v>
      </c>
      <c r="R6" s="49">
        <f>(B6)</f>
        <v>6.6478800000000001E-3</v>
      </c>
      <c r="S6" s="23">
        <f>(C6)</f>
        <v>373</v>
      </c>
      <c r="T6" s="23">
        <f>(R6*S6)</f>
        <v>2.4796592400000002</v>
      </c>
    </row>
    <row r="7" spans="2:21">
      <c r="B7" s="49">
        <v>2.3499999999999999E-4</v>
      </c>
      <c r="C7" s="23">
        <v>0</v>
      </c>
      <c r="D7" s="23">
        <v>0</v>
      </c>
      <c r="E7" s="23">
        <f>(B7*J3)</f>
        <v>6.1125958846312133E-2</v>
      </c>
      <c r="I7" t="s">
        <v>11</v>
      </c>
      <c r="J7">
        <v>1</v>
      </c>
      <c r="N7" s="26">
        <f>($R$8/5)</f>
        <v>0.11221212</v>
      </c>
      <c r="O7" s="23">
        <f>($S$8*[1]Params!K9)</f>
        <v>454.19692632132785</v>
      </c>
      <c r="P7" s="23">
        <f>(O7*N7)</f>
        <v>50.9664</v>
      </c>
      <c r="R7" s="49">
        <f>(B7+B8+B10)</f>
        <v>2.6033900000000001E-3</v>
      </c>
      <c r="S7" s="23">
        <f>(C7)</f>
        <v>0</v>
      </c>
      <c r="T7" s="23">
        <f>(R7*S7)</f>
        <v>0</v>
      </c>
    </row>
    <row r="8" spans="2:21">
      <c r="B8" s="49">
        <v>9.4980000000000002E-5</v>
      </c>
      <c r="C8" s="23">
        <v>0</v>
      </c>
      <c r="D8" s="23">
        <v>0</v>
      </c>
      <c r="E8" s="23">
        <f>(B8*J3)</f>
        <v>2.4705291792437134E-2</v>
      </c>
      <c r="I8" t="s">
        <v>13</v>
      </c>
      <c r="J8" s="49">
        <f>(J7-B17)</f>
        <v>0.28624450999999995</v>
      </c>
      <c r="N8" s="26">
        <f>($R$8/5)</f>
        <v>0.11221212</v>
      </c>
      <c r="O8" s="23">
        <f>($S$8*[1]Params!K10)</f>
        <v>624.52077369182587</v>
      </c>
      <c r="P8" s="23">
        <f>(O8*N8)</f>
        <v>70.078800000000001</v>
      </c>
      <c r="R8" s="49">
        <f>(B11)</f>
        <v>0.56106060000000002</v>
      </c>
      <c r="S8" s="23">
        <f>(C11)</f>
        <v>283.87307895082989</v>
      </c>
      <c r="T8" s="23">
        <f>(R8*S8)</f>
        <v>159.26999999999998</v>
      </c>
      <c r="U8" t="s">
        <v>10</v>
      </c>
    </row>
    <row r="9" spans="2:21">
      <c r="B9" s="49">
        <v>9.0920000000000004E-5</v>
      </c>
      <c r="C9" s="23">
        <v>276</v>
      </c>
      <c r="D9" s="23">
        <f>(B9*C9)</f>
        <v>2.5093920000000002E-2</v>
      </c>
      <c r="E9" s="23"/>
      <c r="I9" t="s">
        <v>14</v>
      </c>
      <c r="J9" s="30">
        <f>(J8*J3)</f>
        <v>74.455192077628851</v>
      </c>
      <c r="N9" s="26">
        <f>($R$8/5)</f>
        <v>0.11221212</v>
      </c>
      <c r="O9" s="23">
        <f>($S$8*[1]Params!K11)</f>
        <v>1419.3653947541495</v>
      </c>
      <c r="P9" s="23">
        <f>(O9*N9)</f>
        <v>159.26999999999998</v>
      </c>
      <c r="R9" s="49">
        <f>(B12)</f>
        <v>0.14034714000000001</v>
      </c>
      <c r="S9" s="23">
        <f>(C12)</f>
        <v>284.29507006697816</v>
      </c>
      <c r="T9" s="23">
        <f>(R9*S9)</f>
        <v>39.9</v>
      </c>
      <c r="U9" t="s">
        <v>15</v>
      </c>
    </row>
    <row r="10" spans="2:21">
      <c r="B10" s="50">
        <v>2.27341E-3</v>
      </c>
      <c r="C10" s="28">
        <v>0</v>
      </c>
      <c r="D10" s="29">
        <v>0</v>
      </c>
      <c r="E10" s="23">
        <f>(B10*J3)</f>
        <v>0.59133772808848717</v>
      </c>
      <c r="P10" s="23"/>
      <c r="R10" s="49">
        <f>B14+B15</f>
        <v>7.7873999999999999E-4</v>
      </c>
      <c r="S10" s="23">
        <v>0</v>
      </c>
      <c r="T10" s="24">
        <f>D14+D15</f>
        <v>-3.0754700000000099</v>
      </c>
    </row>
    <row r="11" spans="2:21">
      <c r="B11" s="49">
        <v>0.56106060000000002</v>
      </c>
      <c r="C11" s="23">
        <f>(D11/B11)</f>
        <v>283.87307895082989</v>
      </c>
      <c r="D11" s="23">
        <v>159.27000000000001</v>
      </c>
      <c r="E11" t="s">
        <v>10</v>
      </c>
      <c r="P11" s="23">
        <f>(SUM(P6:P9))</f>
        <v>321.72539999999998</v>
      </c>
    </row>
    <row r="12" spans="2:21">
      <c r="B12" s="49">
        <v>0.14034714000000001</v>
      </c>
      <c r="C12" s="23">
        <f>(D12/B12)</f>
        <v>284.29507006697816</v>
      </c>
      <c r="D12" s="23">
        <v>39.9</v>
      </c>
      <c r="E12" t="s">
        <v>15</v>
      </c>
    </row>
    <row r="13" spans="2:21">
      <c r="B13" s="49">
        <v>2.0116999999999999E-3</v>
      </c>
      <c r="C13" s="23">
        <f>(D13/B13)</f>
        <v>248.54600586568574</v>
      </c>
      <c r="D13" s="23">
        <v>0.5</v>
      </c>
      <c r="M13" t="s">
        <v>15</v>
      </c>
      <c r="N13" t="s">
        <v>32</v>
      </c>
      <c r="O13" t="s">
        <v>1</v>
      </c>
      <c r="P13" t="s">
        <v>2</v>
      </c>
    </row>
    <row r="14" spans="2:21">
      <c r="B14" s="49">
        <v>0.29477873999999998</v>
      </c>
      <c r="C14" s="23">
        <f>(D14/B14)</f>
        <v>233.6752643694725</v>
      </c>
      <c r="D14" s="23">
        <f>39.9285+28.954</f>
        <v>68.882499999999993</v>
      </c>
      <c r="M14" t="s">
        <v>11</v>
      </c>
      <c r="N14" s="26">
        <f>($R$9/5)</f>
        <v>2.8069428E-2</v>
      </c>
      <c r="O14" s="23">
        <f>($S$9*[1]Params!K8)</f>
        <v>369.58359108707162</v>
      </c>
      <c r="P14" s="23">
        <f>(O14*N14)</f>
        <v>10.373999999999999</v>
      </c>
    </row>
    <row r="15" spans="2:21">
      <c r="B15" s="49">
        <v>-0.29399999999999998</v>
      </c>
      <c r="C15" s="23">
        <f>(D15/B15)</f>
        <v>244.75500000000002</v>
      </c>
      <c r="D15" s="23">
        <v>-71.957970000000003</v>
      </c>
      <c r="N15" s="26">
        <f>($R$9/5)</f>
        <v>2.8069428E-2</v>
      </c>
      <c r="O15" s="23">
        <f>($S$9*[1]Params!K9)</f>
        <v>454.87211210716509</v>
      </c>
      <c r="P15" s="23">
        <f>(O15*N15)</f>
        <v>12.767999999999999</v>
      </c>
    </row>
    <row r="16" spans="2:21">
      <c r="N16" s="26">
        <f>($R$9/5)</f>
        <v>2.8069428E-2</v>
      </c>
      <c r="O16" s="23">
        <f>($S$9*[1]Params!K10)</f>
        <v>625.44915414735203</v>
      </c>
      <c r="P16" s="23">
        <f>(O16*N16)</f>
        <v>17.556000000000001</v>
      </c>
    </row>
    <row r="17" spans="2:16">
      <c r="B17" s="49">
        <f>(SUM(B5:B16))</f>
        <v>0.71375549000000005</v>
      </c>
      <c r="D17" s="23">
        <f>(SUM(D5:D16))</f>
        <v>199.15177244</v>
      </c>
      <c r="F17" t="s">
        <v>9</v>
      </c>
      <c r="G17" s="23">
        <f>(SUM(D5:D16)/SUM(B5:B16))</f>
        <v>279.01960157252171</v>
      </c>
      <c r="N17" s="26">
        <f>($R$9/5)</f>
        <v>2.8069428E-2</v>
      </c>
      <c r="O17" s="23">
        <f>($S$9*[1]Params!K11)</f>
        <v>1421.4753503348907</v>
      </c>
      <c r="P17" s="23">
        <f>(O17*N17)</f>
        <v>39.899999999999991</v>
      </c>
    </row>
    <row r="18" spans="2:16">
      <c r="P18" s="23"/>
    </row>
    <row r="19" spans="2:16">
      <c r="P19" s="23">
        <f>(SUM(P14:P17))</f>
        <v>80.597999999999985</v>
      </c>
    </row>
    <row r="21" spans="2:16">
      <c r="N21" t="s">
        <v>32</v>
      </c>
      <c r="O21" t="s">
        <v>1</v>
      </c>
      <c r="P21" t="s">
        <v>2</v>
      </c>
    </row>
    <row r="22" spans="2:16">
      <c r="M22" t="s">
        <v>11</v>
      </c>
      <c r="N22" s="26">
        <f>(($R$5+$R$7)/5)</f>
        <v>9.8422599999999994E-4</v>
      </c>
      <c r="O22" s="23">
        <f>($S$5*[1]Params!K8)</f>
        <v>323.96134165178148</v>
      </c>
      <c r="P22" s="23">
        <f>(O22*N22)</f>
        <v>0.31885117544856628</v>
      </c>
    </row>
    <row r="23" spans="2:16">
      <c r="N23" s="26">
        <f>(($R$5+$R$7)/5)</f>
        <v>9.8422599999999994E-4</v>
      </c>
      <c r="O23" s="23">
        <f>($S$5*[1]Params!K9)</f>
        <v>398.72165126373102</v>
      </c>
      <c r="P23" s="23">
        <f>(O23*N23)</f>
        <v>0.39243221593669692</v>
      </c>
    </row>
    <row r="24" spans="2:16">
      <c r="N24" s="26">
        <f>(($R$5+$R$7)/5)</f>
        <v>9.8422599999999994E-4</v>
      </c>
      <c r="O24" s="23">
        <f>($S$5*[1]Params!K10)</f>
        <v>548.24227048763021</v>
      </c>
      <c r="P24" s="23">
        <f>(O24*N24)</f>
        <v>0.53959429691295835</v>
      </c>
    </row>
    <row r="25" spans="2:16">
      <c r="N25" s="26">
        <f>(($R$5+$R$7)/5)</f>
        <v>9.8422599999999994E-4</v>
      </c>
      <c r="O25" s="23">
        <f>($S$5*[1]Params!K11)</f>
        <v>1246.0051601991595</v>
      </c>
      <c r="P25" s="23">
        <f>(O25*N25)</f>
        <v>1.226350674802178</v>
      </c>
    </row>
    <row r="26" spans="2:16">
      <c r="P26" s="23"/>
    </row>
    <row r="27" spans="2:16">
      <c r="P27" s="23">
        <f>(SUM(P22:P25))</f>
        <v>2.4772283631003997</v>
      </c>
    </row>
    <row r="37" spans="18:20">
      <c r="R37" s="49">
        <f>(SUM(R5:R27))</f>
        <v>0.71375549000000005</v>
      </c>
      <c r="T37" s="23">
        <f>(SUM(T5:T27))</f>
        <v>199.15177244</v>
      </c>
    </row>
  </sheetData>
  <conditionalFormatting sqref="C5:C6 C9 C11:C14 O6:O9 O14 S5:S6 S8:S9">
    <cfRule type="cellIs" dxfId="185" priority="11" operator="lessThan">
      <formula>$J$3</formula>
    </cfRule>
    <cfRule type="cellIs" dxfId="184" priority="12" operator="greaterThan">
      <formula>$J$3</formula>
    </cfRule>
  </conditionalFormatting>
  <conditionalFormatting sqref="O15:O17">
    <cfRule type="cellIs" dxfId="183" priority="7" operator="lessThan">
      <formula>$J$3</formula>
    </cfRule>
    <cfRule type="cellIs" dxfId="182" priority="8" operator="greaterThan">
      <formula>$J$3</formula>
    </cfRule>
  </conditionalFormatting>
  <conditionalFormatting sqref="O22:O25">
    <cfRule type="cellIs" dxfId="181" priority="5" operator="lessThan">
      <formula>$J$3</formula>
    </cfRule>
    <cfRule type="cellIs" dxfId="180" priority="6" operator="greaterThan">
      <formula>$J$3</formula>
    </cfRule>
  </conditionalFormatting>
  <conditionalFormatting sqref="G17">
    <cfRule type="cellIs" dxfId="179" priority="1" operator="lessThan">
      <formula>$J$3</formula>
    </cfRule>
    <cfRule type="cellIs" dxfId="178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C5" sqref="C5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1">
        <v>9.1363877940875929E-2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(B13*J3)</f>
        <v>5.6092903248979455</v>
      </c>
      <c r="K4" s="4">
        <f>(J4/D13-1)</f>
        <v>0.12185806497958906</v>
      </c>
    </row>
    <row r="5" spans="2:16">
      <c r="B5" s="35">
        <v>61.119118389999997</v>
      </c>
      <c r="C5" s="45">
        <f>(D5/B5)</f>
        <v>8.1807462733593267E-2</v>
      </c>
      <c r="D5" s="23">
        <v>5</v>
      </c>
      <c r="N5" t="s">
        <v>32</v>
      </c>
      <c r="O5" t="s">
        <v>1</v>
      </c>
      <c r="P5" t="s">
        <v>2</v>
      </c>
    </row>
    <row r="6" spans="2:16">
      <c r="B6" s="47">
        <v>0.27593676</v>
      </c>
      <c r="C6" s="28">
        <v>0</v>
      </c>
      <c r="D6" s="29">
        <f>(B6*C6)</f>
        <v>0</v>
      </c>
      <c r="E6" s="23">
        <f>(B6*J3)</f>
        <v>2.5210652460040776E-2</v>
      </c>
      <c r="M6" t="s">
        <v>11</v>
      </c>
      <c r="N6" s="35">
        <f>($B$13/5)</f>
        <v>12.279011029999999</v>
      </c>
      <c r="O6" s="23">
        <f>($C$5*[1]Params!K8)</f>
        <v>0.10634970155367125</v>
      </c>
      <c r="P6" s="23">
        <f>(O6*N6)</f>
        <v>1.3058691584147375</v>
      </c>
    </row>
    <row r="7" spans="2:16">
      <c r="N7" s="35">
        <f>($B$13/5)</f>
        <v>12.279011029999999</v>
      </c>
      <c r="O7" s="23">
        <f>($C$5*[1]Params!K9)</f>
        <v>0.13089194037374924</v>
      </c>
      <c r="P7" s="23">
        <f>(O7*N7)</f>
        <v>1.6072235795873691</v>
      </c>
    </row>
    <row r="8" spans="2:16">
      <c r="N8" s="35">
        <f>($B$13/5)</f>
        <v>12.279011029999999</v>
      </c>
      <c r="O8" s="23">
        <f>($C$5*[1]Params!K10)</f>
        <v>0.17997641801390521</v>
      </c>
      <c r="P8" s="23">
        <f>(O8*N8)</f>
        <v>2.2099324219326326</v>
      </c>
    </row>
    <row r="9" spans="2:16">
      <c r="N9" s="35">
        <f>($B$13/5)</f>
        <v>12.279011029999999</v>
      </c>
      <c r="O9" s="23">
        <f>($C$5*[1]Params!K11)</f>
        <v>0.40903731366796636</v>
      </c>
      <c r="P9" s="23">
        <f>(O9*N9)</f>
        <v>5.0225736862105288</v>
      </c>
    </row>
    <row r="11" spans="2:16">
      <c r="P11" s="23">
        <f>(SUM(P6:P9))</f>
        <v>10.145598846145269</v>
      </c>
    </row>
    <row r="12" spans="2:16">
      <c r="F12" t="s">
        <v>9</v>
      </c>
      <c r="G12" s="23">
        <f>(D13/B13)</f>
        <v>8.1439783509991689E-2</v>
      </c>
    </row>
    <row r="13" spans="2:16">
      <c r="B13" s="35">
        <f>(SUM(B5:B12))</f>
        <v>61.395055149999997</v>
      </c>
      <c r="D13" s="23">
        <f>(SUM(D5:D12))</f>
        <v>5</v>
      </c>
    </row>
  </sheetData>
  <conditionalFormatting sqref="O6:O9">
    <cfRule type="cellIs" dxfId="177" priority="5" operator="lessThan">
      <formula>$J$3</formula>
    </cfRule>
    <cfRule type="cellIs" dxfId="176" priority="6" operator="greaterThan">
      <formula>$J$3</formula>
    </cfRule>
  </conditionalFormatting>
  <conditionalFormatting sqref="C5">
    <cfRule type="cellIs" dxfId="175" priority="3" operator="lessThan">
      <formula>$J$3</formula>
    </cfRule>
    <cfRule type="cellIs" dxfId="174" priority="4" operator="greaterThan">
      <formula>$J$3</formula>
    </cfRule>
  </conditionalFormatting>
  <conditionalFormatting sqref="G12">
    <cfRule type="cellIs" dxfId="173" priority="1" operator="lessThan">
      <formula>$J$3</formula>
    </cfRule>
    <cfRule type="cellIs" dxfId="172" priority="2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2:U27"/>
  <sheetViews>
    <sheetView workbookViewId="0">
      <selection activeCell="J33" sqref="J33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6.9333625785895494</v>
      </c>
      <c r="M3" t="s">
        <v>4</v>
      </c>
      <c r="N3" s="26">
        <f>(INDEX(N5:N16,MATCH(MAX(O6),O5:O16,0))/0.9)</f>
        <v>1.5256666666666665</v>
      </c>
      <c r="O3" s="24">
        <f>(MAX(O6)*0.85)</f>
        <v>6.1249660527274052</v>
      </c>
      <c r="P3" s="45">
        <f>(O3*N3)</f>
        <v>9.3446565411111102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40.895686206634423</v>
      </c>
      <c r="K4" s="4">
        <f>(J4/D14-1)</f>
        <v>0.34969256107261648</v>
      </c>
      <c r="R4" t="s">
        <v>5</v>
      </c>
      <c r="S4" t="s">
        <v>6</v>
      </c>
      <c r="T4" t="s">
        <v>7</v>
      </c>
    </row>
    <row r="5" spans="2:21">
      <c r="B5" s="26">
        <v>7.1113153100000002</v>
      </c>
      <c r="C5" s="23">
        <f>(D5/B5)</f>
        <v>5.6107763839260842</v>
      </c>
      <c r="D5" s="23">
        <v>39.9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7">
        <f>(B6)</f>
        <v>7.2394639999999996E-2</v>
      </c>
      <c r="S5" s="28">
        <v>0</v>
      </c>
      <c r="T5" s="29">
        <f>(D6)</f>
        <v>0</v>
      </c>
      <c r="U5">
        <f>(R5*J3)</f>
        <v>0.50193828786646211</v>
      </c>
    </row>
    <row r="6" spans="2:21">
      <c r="B6" s="27">
        <v>7.2394639999999996E-2</v>
      </c>
      <c r="C6" s="28">
        <v>0</v>
      </c>
      <c r="D6" s="29">
        <f>(B6*C6)</f>
        <v>0</v>
      </c>
      <c r="E6" s="23">
        <f>(B6*J3)</f>
        <v>0.50193828786646211</v>
      </c>
      <c r="M6" t="s">
        <v>11</v>
      </c>
      <c r="N6" s="26">
        <f>-B11</f>
        <v>1.3731</v>
      </c>
      <c r="O6" s="23">
        <f>C11</f>
        <v>7.2058424149734179</v>
      </c>
      <c r="P6" s="23">
        <f>-D11</f>
        <v>9.8943422200000004</v>
      </c>
      <c r="Q6" t="s">
        <v>12</v>
      </c>
      <c r="R6" s="26">
        <f>B5+B11</f>
        <v>5.7382153100000002</v>
      </c>
      <c r="S6" s="23">
        <f>(T6/R6)</f>
        <v>5.6277124951590558</v>
      </c>
      <c r="T6" s="23">
        <f>D5+B11*5.54</f>
        <v>32.293025999999998</v>
      </c>
      <c r="U6" t="s">
        <v>15</v>
      </c>
    </row>
    <row r="7" spans="2:21">
      <c r="B7" s="26">
        <v>0.11156135</v>
      </c>
      <c r="C7" s="23">
        <f>(D7/B7)</f>
        <v>4.4818389164347687</v>
      </c>
      <c r="D7" s="23">
        <v>0.5</v>
      </c>
      <c r="N7" s="26">
        <f>2*($B$14-$B$11)/5-N6</f>
        <v>1.5354965600000003</v>
      </c>
      <c r="O7" s="23">
        <f>($S$6*[1]Params!K9)</f>
        <v>9.00433999225449</v>
      </c>
      <c r="P7" s="23">
        <f>(O7*N7)</f>
        <v>13.826133083177199</v>
      </c>
      <c r="R7" s="26">
        <f>B7</f>
        <v>0.11156135</v>
      </c>
      <c r="S7" s="23">
        <f>(T7/R7)</f>
        <v>4.4818389164347687</v>
      </c>
      <c r="T7" s="24">
        <f>D7</f>
        <v>0.5</v>
      </c>
    </row>
    <row r="8" spans="2:21">
      <c r="B8" s="26">
        <f>(-0.2134+N15)</f>
        <v>-0.21340000000000001</v>
      </c>
      <c r="C8" s="23">
        <f>(D8/B8)</f>
        <v>5.3527599426527646</v>
      </c>
      <c r="D8" s="23">
        <f>(-1.27565659-D9)</f>
        <v>-1.1422789717621</v>
      </c>
      <c r="N8" s="26">
        <f>($B$14-$B$11)/5</f>
        <v>1.4542982800000002</v>
      </c>
      <c r="O8" s="23">
        <f>($C$5*[1]Params!K10)</f>
        <v>12.343708044637387</v>
      </c>
      <c r="P8" s="23">
        <f>(O8*N8)</f>
        <v>17.951433378138315</v>
      </c>
      <c r="R8" s="26">
        <f>SUM(B8:B10)</f>
        <v>-2.3779899999999993E-2</v>
      </c>
      <c r="S8" s="23">
        <f>(T8/R8)</f>
        <v>8.64833704094635</v>
      </c>
      <c r="T8" s="23">
        <f>SUM(D8:D10)</f>
        <v>-0.20565659000000003</v>
      </c>
    </row>
    <row r="9" spans="2:21">
      <c r="B9">
        <f>-B7/5</f>
        <v>-2.2312270000000002E-2</v>
      </c>
      <c r="C9" s="23">
        <v>5.9777699999999996</v>
      </c>
      <c r="D9" s="23">
        <f>(C9*B9)</f>
        <v>-0.13337761823790001</v>
      </c>
      <c r="N9" s="26">
        <f>($B$14-$B$11)/5</f>
        <v>1.4542982800000002</v>
      </c>
      <c r="O9" s="23">
        <f>($C$5*[1]Params!K11)</f>
        <v>28.05388191963042</v>
      </c>
      <c r="P9" s="23">
        <f>(O9*N9)</f>
        <v>40.798712223041626</v>
      </c>
      <c r="R9" s="26">
        <f>B11-B11</f>
        <v>0</v>
      </c>
      <c r="S9" s="23">
        <v>0</v>
      </c>
      <c r="T9" s="24">
        <f>D11-B11*5.54</f>
        <v>-2.2873682200000003</v>
      </c>
    </row>
    <row r="10" spans="2:21">
      <c r="B10" s="26">
        <v>0.21193237000000001</v>
      </c>
      <c r="C10" s="23">
        <f>D10/B10</f>
        <v>5.0487804199047082</v>
      </c>
      <c r="D10" s="23">
        <v>1.07</v>
      </c>
      <c r="N10" s="26"/>
      <c r="P10" s="23"/>
    </row>
    <row r="11" spans="2:21">
      <c r="B11" s="26">
        <v>-1.3731</v>
      </c>
      <c r="C11" s="23">
        <f>(D11/B11)</f>
        <v>7.2058424149734179</v>
      </c>
      <c r="D11" s="23">
        <f>-9.89434222</f>
        <v>-9.8943422200000004</v>
      </c>
      <c r="N11" s="26"/>
      <c r="P11" s="23"/>
    </row>
    <row r="12" spans="2:21">
      <c r="N12" s="26"/>
      <c r="P12" s="23">
        <f>(SUM(P6:P9))</f>
        <v>82.470620904357133</v>
      </c>
    </row>
    <row r="13" spans="2:21">
      <c r="F13" t="s">
        <v>9</v>
      </c>
      <c r="G13" s="23">
        <f>(D14/B14)</f>
        <v>5.1369939929723882</v>
      </c>
      <c r="N13" s="26"/>
      <c r="P13" s="23"/>
      <c r="R13" s="26">
        <f>(SUM(R5:R12))</f>
        <v>5.8983913999999995</v>
      </c>
      <c r="T13" s="23">
        <f>(SUM(T5:T12))</f>
        <v>30.30000119</v>
      </c>
    </row>
    <row r="14" spans="2:21">
      <c r="B14">
        <f>(SUM(B5:B13))</f>
        <v>5.8983914000000004</v>
      </c>
      <c r="D14" s="23">
        <f>(SUM(D5:D13))</f>
        <v>30.300001189999996</v>
      </c>
    </row>
    <row r="15" spans="2:21">
      <c r="N15" s="26"/>
      <c r="O15" s="23"/>
      <c r="P15" s="23"/>
    </row>
    <row r="16" spans="2:21">
      <c r="N16" s="26"/>
      <c r="O16" s="23"/>
      <c r="P16" s="23"/>
    </row>
    <row r="17" spans="7:16">
      <c r="N17" s="26"/>
      <c r="O17" s="23"/>
      <c r="P17" s="23"/>
    </row>
    <row r="18" spans="7:16">
      <c r="N18" s="26"/>
      <c r="O18" s="23"/>
      <c r="P18" s="23"/>
    </row>
    <row r="19" spans="7:16">
      <c r="P19" s="23"/>
    </row>
    <row r="20" spans="7:16">
      <c r="P20" s="23"/>
    </row>
    <row r="21" spans="7:16">
      <c r="P21" s="23"/>
    </row>
    <row r="27" spans="7:16">
      <c r="G27" s="24"/>
    </row>
  </sheetData>
  <conditionalFormatting sqref="C5 C7 C10 G13 O7:O9 S6:S7">
    <cfRule type="cellIs" dxfId="171" priority="17" operator="lessThan">
      <formula>$J$3</formula>
    </cfRule>
    <cfRule type="cellIs" dxfId="170" priority="18" operator="greaterThan">
      <formula>$J$3</formula>
    </cfRule>
  </conditionalFormatting>
  <conditionalFormatting sqref="O3">
    <cfRule type="cellIs" dxfId="169" priority="1" operator="greaterThan">
      <formula>$J$3</formula>
    </cfRule>
    <cfRule type="cellIs" dxfId="168" priority="2" operator="less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2:Q13"/>
  <sheetViews>
    <sheetView workbookViewId="0">
      <selection activeCell="D7" sqref="D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17">
      <c r="N2" t="s">
        <v>0</v>
      </c>
      <c r="O2" t="s">
        <v>1</v>
      </c>
      <c r="P2" t="s">
        <v>2</v>
      </c>
    </row>
    <row r="3" spans="2:17">
      <c r="I3" t="s">
        <v>3</v>
      </c>
      <c r="J3" s="23">
        <v>62.90541647500244</v>
      </c>
      <c r="M3" t="s">
        <v>4</v>
      </c>
      <c r="N3" s="26">
        <f>(INDEX(N5:N16,MATCH(MAX(O6),O5:O16,0))/0.9)</f>
        <v>2.75E-2</v>
      </c>
      <c r="O3" s="24">
        <f>(MAX(O6)*0.85)</f>
        <v>48.820710242424241</v>
      </c>
      <c r="P3" s="45">
        <f>(O3*N3)</f>
        <v>1.3425695316666666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3">
        <f>(B13*J3)</f>
        <v>6.2302222726965297</v>
      </c>
      <c r="K4" s="4">
        <f>(J4/D13-1)</f>
        <v>0.64888055305168191</v>
      </c>
    </row>
    <row r="5" spans="2:17">
      <c r="B5" s="26">
        <v>0.12084767</v>
      </c>
      <c r="C5" s="23">
        <v>43.03</v>
      </c>
      <c r="D5" s="23">
        <v>5.2</v>
      </c>
      <c r="N5" t="s">
        <v>32</v>
      </c>
      <c r="O5" t="s">
        <v>1</v>
      </c>
      <c r="P5" t="s">
        <v>2</v>
      </c>
    </row>
    <row r="6" spans="2:17">
      <c r="B6" s="27">
        <v>2.9434399999999999E-3</v>
      </c>
      <c r="C6" s="28">
        <v>0</v>
      </c>
      <c r="D6" s="29">
        <f>(B6*C6)</f>
        <v>0</v>
      </c>
      <c r="E6" s="23">
        <f>(B6*J3)</f>
        <v>0.18515831906918118</v>
      </c>
      <c r="M6" t="s">
        <v>11</v>
      </c>
      <c r="N6" s="26">
        <f>-B7</f>
        <v>2.4750000000000001E-2</v>
      </c>
      <c r="O6" s="23">
        <f>P6/N6</f>
        <v>57.436129696969694</v>
      </c>
      <c r="P6" s="23">
        <f>-D7</f>
        <v>1.42154421</v>
      </c>
      <c r="Q6" t="s">
        <v>12</v>
      </c>
    </row>
    <row r="7" spans="2:17">
      <c r="B7">
        <v>-2.4750000000000001E-2</v>
      </c>
      <c r="C7" s="23">
        <f>D7/B7</f>
        <v>57.436129696969694</v>
      </c>
      <c r="D7" s="23">
        <f>-1.42154421</f>
        <v>-1.42154421</v>
      </c>
      <c r="N7" s="26">
        <f>($B$13-$B$7)/5</f>
        <v>2.4758222000000003E-2</v>
      </c>
      <c r="O7" s="23">
        <f>($C$5*[1]Params!K9)</f>
        <v>68.847999999999999</v>
      </c>
      <c r="P7" s="23">
        <f>(O7*N7)</f>
        <v>1.7045540682560003</v>
      </c>
    </row>
    <row r="8" spans="2:17">
      <c r="N8" s="26">
        <f>($B$13-$B$7)/5</f>
        <v>2.4758222000000003E-2</v>
      </c>
      <c r="O8" s="23">
        <f>($C$5*[1]Params!K10)</f>
        <v>94.666000000000011</v>
      </c>
      <c r="P8" s="23">
        <f>(O8*N8)</f>
        <v>2.3437618438520005</v>
      </c>
    </row>
    <row r="9" spans="2:17">
      <c r="N9" s="26">
        <f>($B$13-$B$7)/5</f>
        <v>2.4758222000000003E-2</v>
      </c>
      <c r="O9" s="23">
        <f>($C$5*[1]Params!K11)</f>
        <v>215.15</v>
      </c>
      <c r="P9" s="23">
        <f>(O9*N9)</f>
        <v>5.3267314633000007</v>
      </c>
    </row>
    <row r="11" spans="2:17">
      <c r="P11" s="23">
        <f>(SUM(P6:P9))</f>
        <v>10.796591585408002</v>
      </c>
    </row>
    <row r="12" spans="2:17">
      <c r="F12" t="s">
        <v>9</v>
      </c>
      <c r="G12" s="23">
        <f>(D13/B13)</f>
        <v>38.150378060181268</v>
      </c>
    </row>
    <row r="13" spans="2:17">
      <c r="B13">
        <f>(SUM(B5:B12))</f>
        <v>9.9041110000000016E-2</v>
      </c>
      <c r="D13" s="23">
        <f>(SUM(D5:D12))</f>
        <v>3.7784557900000002</v>
      </c>
    </row>
  </sheetData>
  <conditionalFormatting sqref="C5">
    <cfRule type="cellIs" dxfId="167" priority="9" operator="lessThan">
      <formula>$J$3</formula>
    </cfRule>
    <cfRule type="cellIs" dxfId="166" priority="10" operator="greaterThan">
      <formula>$J$3</formula>
    </cfRule>
  </conditionalFormatting>
  <conditionalFormatting sqref="O7:O9">
    <cfRule type="cellIs" dxfId="165" priority="7" operator="lessThan">
      <formula>$J$3</formula>
    </cfRule>
    <cfRule type="cellIs" dxfId="164" priority="8" operator="greaterThan">
      <formula>$J$3</formula>
    </cfRule>
  </conditionalFormatting>
  <conditionalFormatting sqref="G12">
    <cfRule type="cellIs" dxfId="163" priority="5" operator="lessThan">
      <formula>$J$3</formula>
    </cfRule>
    <cfRule type="cellIs" dxfId="162" priority="6" operator="greaterThan">
      <formula>$J$3</formula>
    </cfRule>
  </conditionalFormatting>
  <conditionalFormatting sqref="O3">
    <cfRule type="cellIs" dxfId="161" priority="1" operator="greaterThan">
      <formula>$J$3</formula>
    </cfRule>
    <cfRule type="cellIs" dxfId="160" priority="2" operator="less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2:W37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45">
        <v>0.16040233163610079</v>
      </c>
      <c r="M3" t="s">
        <v>4</v>
      </c>
      <c r="N3" s="35">
        <f>(INDEX(N5:N29,MATCH(MAX(O6:O8),O5:O29,0))/0.9)</f>
        <v>17.499576300000001</v>
      </c>
      <c r="O3" s="52">
        <f>(MAX(O6:O8)*0.85)</f>
        <v>0.11792713112298792</v>
      </c>
      <c r="P3" s="23">
        <f>(O3*N3)</f>
        <v>2.0636748289268319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(B14*J3)</f>
        <v>4.3208101101728387</v>
      </c>
      <c r="K4" s="4">
        <f>(J4/D14-1)</f>
        <v>-7.6135894651999694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45">
        <f t="shared" ref="C5:C10" si="0">(D5/B5)</f>
        <v>6.3062636964164656E-2</v>
      </c>
      <c r="D5" s="23">
        <v>4</v>
      </c>
      <c r="E5" t="s">
        <v>85</v>
      </c>
      <c r="N5" t="s">
        <v>32</v>
      </c>
      <c r="O5" t="s">
        <v>1</v>
      </c>
      <c r="P5" t="s">
        <v>2</v>
      </c>
      <c r="R5" s="35">
        <f>(B5)</f>
        <v>63.429000000000002</v>
      </c>
      <c r="S5" s="23">
        <f>(C5)</f>
        <v>6.3062636964164656E-2</v>
      </c>
      <c r="T5" s="23">
        <f>(R5*S5)</f>
        <v>4</v>
      </c>
    </row>
    <row r="6" spans="2:20">
      <c r="B6" s="19">
        <v>-12.25728155</v>
      </c>
      <c r="C6" s="45">
        <f t="shared" si="0"/>
        <v>8.0228066556894906E-2</v>
      </c>
      <c r="D6" s="23">
        <v>-0.98337799999999997</v>
      </c>
      <c r="M6" t="s">
        <v>11</v>
      </c>
      <c r="N6" s="35">
        <f>(-B6)</f>
        <v>12.25728155</v>
      </c>
      <c r="O6" s="23">
        <f>(C6)</f>
        <v>8.0228066556894906E-2</v>
      </c>
      <c r="P6" s="23">
        <f>(O6*N6)</f>
        <v>0.98337799999999997</v>
      </c>
      <c r="Q6" t="s">
        <v>12</v>
      </c>
      <c r="R6" s="35">
        <f>B6</f>
        <v>-12.25728155</v>
      </c>
      <c r="S6" s="23">
        <f>(C6)</f>
        <v>8.0228066556894906E-2</v>
      </c>
      <c r="T6" s="23">
        <f>D6</f>
        <v>-0.98337799999999997</v>
      </c>
    </row>
    <row r="7" spans="2:20">
      <c r="B7" s="19">
        <v>-12.70325203</v>
      </c>
      <c r="C7" s="45">
        <f t="shared" si="0"/>
        <v>9.5823336979011353E-2</v>
      </c>
      <c r="D7" s="23">
        <v>-1.217268</v>
      </c>
      <c r="N7" s="35">
        <f>-B11</f>
        <v>12.55901794</v>
      </c>
      <c r="O7" s="23">
        <f>($C$5*[1]Params!K9)</f>
        <v>0.10090021914266345</v>
      </c>
      <c r="P7" s="23">
        <f>-D11</f>
        <v>1.2941590000000001</v>
      </c>
      <c r="Q7" t="s">
        <v>12</v>
      </c>
      <c r="R7" s="35">
        <f>B7+B10+B8+B9</f>
        <v>4.1808636000000003</v>
      </c>
      <c r="S7" s="23">
        <f>(C7)</f>
        <v>9.5823336979011353E-2</v>
      </c>
      <c r="T7" s="23">
        <f>D7+D10+D8+D9</f>
        <v>-0.17389399999999999</v>
      </c>
    </row>
    <row r="8" spans="2:20">
      <c r="B8" s="19">
        <v>-12.62063846</v>
      </c>
      <c r="C8" s="45">
        <f t="shared" si="0"/>
        <v>0.13122973178014641</v>
      </c>
      <c r="D8" s="23">
        <v>-1.6562030000000001</v>
      </c>
      <c r="N8" s="35">
        <f>3*($B$5+$R$7)/5-N7-N6</f>
        <v>15.749618670000002</v>
      </c>
      <c r="O8" s="23">
        <f>($C$5*[1]Params!K10)</f>
        <v>0.13873780132116226</v>
      </c>
      <c r="P8" s="23">
        <f>(O8*N8)</f>
        <v>2.1850674659225282</v>
      </c>
      <c r="Q8" t="s">
        <v>12</v>
      </c>
      <c r="R8" s="35">
        <f>B11</f>
        <v>-12.55901794</v>
      </c>
      <c r="S8" s="23">
        <f>T8/R8</f>
        <v>0.10304619407208204</v>
      </c>
      <c r="T8" s="23">
        <f>D11</f>
        <v>-1.2941590000000001</v>
      </c>
    </row>
    <row r="9" spans="2:20">
      <c r="B9" s="19">
        <v>15.037158760000001</v>
      </c>
      <c r="C9" s="45">
        <f t="shared" si="0"/>
        <v>0.103022321219411</v>
      </c>
      <c r="D9" s="23">
        <v>1.5491630000000001</v>
      </c>
      <c r="N9" s="35">
        <f>4*($R$5+$R$7)/5+B12-N7-N6</f>
        <v>13.415354599999992</v>
      </c>
      <c r="O9" s="23">
        <f>($C$5*[1]Params!K11)</f>
        <v>0.31531318482082327</v>
      </c>
      <c r="P9" s="23">
        <f>(O9*N9)</f>
        <v>4.2300381844266788</v>
      </c>
      <c r="R9" s="26">
        <f>B12</f>
        <v>-15.856236790000001</v>
      </c>
      <c r="S9" s="23">
        <f>T9/R9</f>
        <v>0.13886598876907916</v>
      </c>
      <c r="T9" s="23">
        <f>D12</f>
        <v>-2.201892</v>
      </c>
    </row>
    <row r="10" spans="2:20">
      <c r="B10" s="19">
        <v>14.46759533</v>
      </c>
      <c r="C10" s="45">
        <f t="shared" si="0"/>
        <v>7.9516600634695803E-2</v>
      </c>
      <c r="D10" s="23">
        <v>1.150414</v>
      </c>
      <c r="N10" s="35"/>
      <c r="O10" s="23"/>
      <c r="P10" s="23"/>
      <c r="R10" s="26"/>
      <c r="S10" s="23"/>
      <c r="T10" s="23"/>
    </row>
    <row r="11" spans="2:20">
      <c r="B11" s="19">
        <v>-12.55901794</v>
      </c>
      <c r="C11" s="45">
        <f>D11/B11</f>
        <v>0.10304619407208204</v>
      </c>
      <c r="D11" s="23">
        <f>-1.294159</f>
        <v>-1.2941590000000001</v>
      </c>
      <c r="N11" s="35"/>
      <c r="O11" s="23"/>
      <c r="P11" s="23"/>
      <c r="R11" s="26"/>
      <c r="S11" s="23"/>
      <c r="T11" s="23"/>
    </row>
    <row r="12" spans="2:20">
      <c r="B12" s="19">
        <v>-15.856236790000001</v>
      </c>
      <c r="C12" s="45">
        <f>D12/B12</f>
        <v>0.13886598876907916</v>
      </c>
      <c r="D12" s="23">
        <v>-2.201892</v>
      </c>
      <c r="N12" s="35"/>
      <c r="O12" s="23"/>
      <c r="P12" s="23"/>
      <c r="R12" s="26"/>
      <c r="S12" s="23"/>
      <c r="T12" s="23"/>
    </row>
    <row r="13" spans="2:20">
      <c r="C13" s="23"/>
      <c r="D13" s="23"/>
      <c r="F13" t="s">
        <v>9</v>
      </c>
      <c r="G13" s="23">
        <f>(D14/B14)</f>
        <v>-2.4253445497353809E-2</v>
      </c>
      <c r="O13" s="23"/>
      <c r="P13" s="23">
        <f>(SUM(P6:P9))</f>
        <v>8.6926426503492067</v>
      </c>
      <c r="R13" s="26"/>
      <c r="S13" s="23"/>
      <c r="T13" s="23"/>
    </row>
    <row r="14" spans="2:20">
      <c r="B14" s="19">
        <f>(SUM(B5:B13))</f>
        <v>26.937327320000005</v>
      </c>
      <c r="C14" s="23"/>
      <c r="D14" s="23">
        <f>(SUM(D5:D13))</f>
        <v>-0.65332299999999988</v>
      </c>
      <c r="O14" s="23"/>
      <c r="R14" s="26"/>
      <c r="S14" s="23"/>
      <c r="T14" s="23"/>
    </row>
    <row r="15" spans="2:20">
      <c r="R15" s="26"/>
      <c r="S15" s="23"/>
      <c r="T15" s="23"/>
    </row>
    <row r="16" spans="2:20">
      <c r="R16" s="26"/>
      <c r="S16" s="23"/>
      <c r="T16" s="23"/>
    </row>
    <row r="17" spans="12:22">
      <c r="R17" s="26"/>
      <c r="S17" s="23"/>
      <c r="T17" s="23"/>
    </row>
    <row r="18" spans="12:22">
      <c r="R18" s="26"/>
      <c r="S18" s="23"/>
      <c r="T18" s="23"/>
    </row>
    <row r="19" spans="12:22">
      <c r="R19" s="26"/>
      <c r="S19" s="23"/>
      <c r="T19" s="23"/>
    </row>
    <row r="20" spans="12:22">
      <c r="R20" s="26"/>
      <c r="S20" s="23"/>
      <c r="T20" s="23"/>
    </row>
    <row r="21" spans="12:22">
      <c r="R21" s="26"/>
      <c r="S21" s="23"/>
      <c r="T21" s="23"/>
    </row>
    <row r="22" spans="12:22">
      <c r="R22" s="26"/>
      <c r="S22" s="23"/>
      <c r="T22" s="23"/>
    </row>
    <row r="23" spans="12:22">
      <c r="R23" s="26"/>
      <c r="S23" s="23"/>
      <c r="T23" s="23"/>
    </row>
    <row r="24" spans="12:22">
      <c r="R24" s="26"/>
      <c r="S24" s="23"/>
      <c r="T24" s="23"/>
      <c r="V24" s="24"/>
    </row>
    <row r="26" spans="12:22">
      <c r="S26" s="23"/>
      <c r="T26" s="23"/>
    </row>
    <row r="27" spans="12:22">
      <c r="L27" s="24"/>
      <c r="M27" s="24"/>
      <c r="S27" s="23"/>
      <c r="T27" s="23"/>
    </row>
    <row r="28" spans="12:22">
      <c r="S28" s="23"/>
      <c r="T28" s="23"/>
    </row>
    <row r="29" spans="12:22">
      <c r="S29" s="23"/>
      <c r="T29" s="23"/>
    </row>
    <row r="30" spans="12:22">
      <c r="S30" s="23"/>
      <c r="T30" s="23"/>
    </row>
    <row r="31" spans="12:22">
      <c r="S31" s="23"/>
      <c r="T31" s="23"/>
    </row>
    <row r="32" spans="12:22">
      <c r="S32" s="23"/>
      <c r="T32" s="23"/>
    </row>
    <row r="33" spans="18:23">
      <c r="R33" s="26">
        <f>(SUM(R5:R31))</f>
        <v>26.937327320000005</v>
      </c>
      <c r="S33" s="23"/>
      <c r="T33" s="23">
        <f>(SUM(T5:T31))</f>
        <v>-0.65332299999999988</v>
      </c>
      <c r="V33" t="s">
        <v>9</v>
      </c>
      <c r="W33" s="23">
        <f>(T33/R33)</f>
        <v>-2.4253445497353809E-2</v>
      </c>
    </row>
    <row r="34" spans="18:23">
      <c r="S34" s="23"/>
      <c r="T34" s="23"/>
    </row>
    <row r="35" spans="18:23">
      <c r="S35" s="23"/>
      <c r="T35" s="23"/>
    </row>
    <row r="36" spans="18:23">
      <c r="S36" s="23"/>
      <c r="T36" s="23"/>
    </row>
    <row r="37" spans="18:23">
      <c r="S37" s="23"/>
      <c r="T37" s="23"/>
    </row>
  </sheetData>
  <conditionalFormatting sqref="C5 C9:C10 G13 O9 S5">
    <cfRule type="cellIs" dxfId="159" priority="23" operator="lessThan">
      <formula>$J$3</formula>
    </cfRule>
    <cfRule type="cellIs" dxfId="158" priority="24" operator="greaterThan">
      <formula>$J$3</formula>
    </cfRule>
  </conditionalFormatting>
  <conditionalFormatting sqref="O3">
    <cfRule type="cellIs" dxfId="157" priority="17" operator="greaterThan">
      <formula>$J$3</formula>
    </cfRule>
    <cfRule type="cellIs" dxfId="156" priority="18" operator="lessThan">
      <formula>$J$3</formula>
    </cfRule>
  </conditionalFormatting>
  <conditionalFormatting sqref="W33">
    <cfRule type="cellIs" dxfId="155" priority="1" operator="lessThan">
      <formula>$J$3</formula>
    </cfRule>
    <cfRule type="cellIs" dxfId="154" priority="2" operator="greaterThan">
      <formula>$J$3</formula>
    </cfRule>
    <cfRule type="cellIs" dxfId="153" priority="3" operator="lessThan">
      <formula>$J$3</formula>
    </cfRule>
    <cfRule type="cellIs" dxfId="152" priority="4" operator="greaterThan">
      <formula>$J$3</formula>
    </cfRule>
    <cfRule type="cellIs" dxfId="151" priority="5" operator="lessThan">
      <formula>$J$3</formula>
    </cfRule>
    <cfRule type="cellIs" dxfId="150" priority="6" operator="greaterThan">
      <formula>$J$3</formula>
    </cfRule>
    <cfRule type="cellIs" dxfId="149" priority="7" operator="lessThan">
      <formula>$J$3</formula>
    </cfRule>
    <cfRule type="cellIs" dxfId="148" priority="8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Z78"/>
  <sheetViews>
    <sheetView workbookViewId="0">
      <selection activeCell="G30" sqref="G30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23">
        <v>43579.853524475249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(B38*J3)</f>
        <v>1270.595470022585</v>
      </c>
      <c r="K4" s="4">
        <f>(J4/D38-1)</f>
        <v>0.85394794545767749</v>
      </c>
      <c r="L4" t="s">
        <v>4</v>
      </c>
      <c r="M4">
        <f>(INDEX((M9:M68),MATCH(N4/0.85,N9:N68,0))/0.9)</f>
        <v>2.047422222222222E-4</v>
      </c>
      <c r="N4" s="24">
        <f>(MAX(N9,N17:N19,N49,N25,N33,N41,N57,N65)*0.85)</f>
        <v>19471.8</v>
      </c>
      <c r="O4" s="30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6">
        <v>3.9998300000000002E-3</v>
      </c>
      <c r="C5" s="23">
        <v>41500</v>
      </c>
      <c r="D5" s="23">
        <f>(B5*C5)</f>
        <v>165.99294500000002</v>
      </c>
      <c r="R5" s="26">
        <f t="shared" ref="R5:R10" si="0">(B5)</f>
        <v>3.9998300000000002E-3</v>
      </c>
      <c r="S5" s="23">
        <v>41500</v>
      </c>
      <c r="T5" s="23">
        <f>(R5*S5)</f>
        <v>165.99294500000002</v>
      </c>
    </row>
    <row r="6" spans="2:20">
      <c r="B6" s="27">
        <v>3.4991999999999998E-4</v>
      </c>
      <c r="C6" s="28">
        <v>0</v>
      </c>
      <c r="D6" s="29">
        <f>(B6*C6)</f>
        <v>0</v>
      </c>
      <c r="E6" s="23">
        <f>(B6*J3)</f>
        <v>15.249462345284378</v>
      </c>
      <c r="I6" t="s">
        <v>11</v>
      </c>
      <c r="J6">
        <v>0.03</v>
      </c>
      <c r="R6" s="26">
        <f t="shared" si="0"/>
        <v>3.4991999999999998E-4</v>
      </c>
      <c r="S6" s="23">
        <v>0</v>
      </c>
      <c r="T6" s="23">
        <f>(R6*S6)</f>
        <v>0</v>
      </c>
    </row>
    <row r="7" spans="2:20">
      <c r="B7" s="26">
        <v>5.1073000000000004E-4</v>
      </c>
      <c r="C7" s="23">
        <f>D7/B7</f>
        <v>30544.514714232566</v>
      </c>
      <c r="D7" s="23">
        <v>15.6</v>
      </c>
      <c r="I7" t="s">
        <v>13</v>
      </c>
      <c r="J7" s="31">
        <f>(J6-B38)</f>
        <v>8.4442999999999671E-4</v>
      </c>
      <c r="R7" s="26">
        <f t="shared" si="0"/>
        <v>5.1073000000000004E-4</v>
      </c>
      <c r="S7" s="23">
        <f>(T7/R7)</f>
        <v>30544.514714232566</v>
      </c>
      <c r="T7" s="23" t="s">
        <v>20</v>
      </c>
    </row>
    <row r="8" spans="2:20">
      <c r="B8" s="26">
        <v>4.9108299999999997E-3</v>
      </c>
      <c r="C8" s="23">
        <f>D8/B8</f>
        <v>21381.314360301621</v>
      </c>
      <c r="D8" s="23">
        <v>105</v>
      </c>
      <c r="I8" t="s">
        <v>14</v>
      </c>
      <c r="J8" s="30">
        <f>(J7*J3)</f>
        <v>36.800135711672489</v>
      </c>
      <c r="M8" t="s">
        <v>0</v>
      </c>
      <c r="N8" t="s">
        <v>1</v>
      </c>
      <c r="O8" t="s">
        <v>2</v>
      </c>
      <c r="R8" s="26">
        <f t="shared" si="0"/>
        <v>4.9108299999999997E-3</v>
      </c>
      <c r="S8" s="23">
        <f>(T8/R8)</f>
        <v>21381.314360301621</v>
      </c>
      <c r="T8" s="23" t="s">
        <v>21</v>
      </c>
    </row>
    <row r="9" spans="2:20">
      <c r="B9" s="26">
        <v>2E-3</v>
      </c>
      <c r="C9" s="23">
        <f>D9/B9</f>
        <v>21750</v>
      </c>
      <c r="D9" s="23">
        <v>43.5</v>
      </c>
      <c r="L9" t="s">
        <v>11</v>
      </c>
      <c r="M9">
        <f>($B$16/5)</f>
        <v>3.3600000000000004E-4</v>
      </c>
      <c r="N9" s="23">
        <f>(C26)</f>
        <v>20979.026577380951</v>
      </c>
      <c r="O9" s="30">
        <f>(N9*M9)</f>
        <v>7.0489529300000004</v>
      </c>
      <c r="P9" t="s">
        <v>12</v>
      </c>
      <c r="R9" s="26">
        <f t="shared" si="0"/>
        <v>2E-3</v>
      </c>
      <c r="S9" s="23">
        <f>(T9/R9)</f>
        <v>21750</v>
      </c>
      <c r="T9" s="23" t="s">
        <v>22</v>
      </c>
    </row>
    <row r="10" spans="2:20">
      <c r="B10" s="26">
        <v>6.9999999999999999E-4</v>
      </c>
      <c r="C10" s="23">
        <v>20458</v>
      </c>
      <c r="D10" s="23">
        <f t="shared" ref="D10:D16" si="1">(C10*B10)</f>
        <v>14.320600000000001</v>
      </c>
      <c r="M10">
        <f>($B$16/5)</f>
        <v>3.3600000000000004E-4</v>
      </c>
      <c r="N10" s="23">
        <f>($C$16*[1]Params!K16)</f>
        <v>33240.04</v>
      </c>
      <c r="O10" s="30">
        <f>(N10*M10)</f>
        <v>11.168653440000002</v>
      </c>
      <c r="R10" s="26">
        <f t="shared" si="0"/>
        <v>6.9999999999999999E-4</v>
      </c>
      <c r="S10" s="23">
        <v>20458</v>
      </c>
      <c r="T10" s="23">
        <f>(S10*R10)</f>
        <v>14.320600000000001</v>
      </c>
    </row>
    <row r="11" spans="2:20">
      <c r="B11" s="26">
        <v>5.1000000000000004E-4</v>
      </c>
      <c r="C11" s="23">
        <v>19873.310000000001</v>
      </c>
      <c r="D11" s="23">
        <f t="shared" si="1"/>
        <v>10.135388100000002</v>
      </c>
      <c r="M11">
        <f>($B$16/5)</f>
        <v>3.3600000000000004E-4</v>
      </c>
      <c r="N11" s="23">
        <f>($C$16*[1]Params!K17)</f>
        <v>66480.08</v>
      </c>
      <c r="O11" s="30">
        <f>(N11*M11)</f>
        <v>22.337306880000003</v>
      </c>
      <c r="R11" s="26">
        <f>(B12)</f>
        <v>6.4000000000000005E-4</v>
      </c>
      <c r="S11" s="23">
        <v>19169.310000000001</v>
      </c>
      <c r="T11" s="23">
        <f>(S11*R11)</f>
        <v>12.268358400000002</v>
      </c>
    </row>
    <row r="12" spans="2:20">
      <c r="B12" s="26">
        <v>6.4000000000000005E-4</v>
      </c>
      <c r="C12" s="23">
        <v>19169.310000000001</v>
      </c>
      <c r="D12" s="23">
        <f t="shared" si="1"/>
        <v>12.268358400000002</v>
      </c>
      <c r="M12">
        <f>($B$16/5)</f>
        <v>3.3600000000000004E-4</v>
      </c>
      <c r="N12" s="23">
        <f>($C$16*[1]Params!K18)</f>
        <v>132960.16</v>
      </c>
      <c r="O12" s="30">
        <f>(N12*M12)</f>
        <v>44.674613760000007</v>
      </c>
      <c r="R12" s="26">
        <f>(B13+B11+B14)</f>
        <v>5.5000000000000003E-4</v>
      </c>
      <c r="S12" s="23">
        <f>(T12/R12)</f>
        <v>18256.087454545454</v>
      </c>
      <c r="T12" s="23">
        <f>(D13+D11+D14)</f>
        <v>10.0408481</v>
      </c>
    </row>
    <row r="13" spans="2:20">
      <c r="B13" s="26">
        <v>-5.0000000000000001E-4</v>
      </c>
      <c r="C13" s="23">
        <v>20709.080000000002</v>
      </c>
      <c r="D13" s="23">
        <f t="shared" si="1"/>
        <v>-10.354540000000002</v>
      </c>
      <c r="R13" s="26">
        <f>(B15)</f>
        <v>2.5799999999999998E-3</v>
      </c>
      <c r="S13" s="23">
        <v>18969</v>
      </c>
      <c r="T13" s="23">
        <f>(S13*R13)</f>
        <v>48.940019999999997</v>
      </c>
    </row>
    <row r="14" spans="2:20">
      <c r="B14" s="26">
        <v>5.4000000000000001E-4</v>
      </c>
      <c r="C14" s="23">
        <v>19000</v>
      </c>
      <c r="D14" s="23">
        <f t="shared" si="1"/>
        <v>10.26</v>
      </c>
      <c r="O14" s="30">
        <f>(SUM(O9:O12))</f>
        <v>85.229527010000012</v>
      </c>
      <c r="R14" s="26">
        <f>(B16+B26)</f>
        <v>1.3440000000000001E-3</v>
      </c>
      <c r="S14" s="23">
        <f t="shared" ref="S14:S21" si="2">(T14/R14)</f>
        <v>15530.268355654764</v>
      </c>
      <c r="T14" s="23">
        <f>(D16+D26)</f>
        <v>20.872680670000005</v>
      </c>
    </row>
    <row r="15" spans="2:20">
      <c r="B15" s="26">
        <v>2.5799999999999998E-3</v>
      </c>
      <c r="C15" s="23">
        <v>18969</v>
      </c>
      <c r="D15" s="23">
        <f t="shared" si="1"/>
        <v>48.940019999999997</v>
      </c>
      <c r="R15" s="26">
        <f>(B17+B18+B21+B33)</f>
        <v>3.7333999999999989E-4</v>
      </c>
      <c r="S15" s="23">
        <f t="shared" si="2"/>
        <v>93.555472223709913</v>
      </c>
      <c r="T15" s="23">
        <f>(D17+D18+D21+D33)</f>
        <v>3.4927999999999848E-2</v>
      </c>
    </row>
    <row r="16" spans="2:20">
      <c r="B16" s="26">
        <v>1.6800000000000001E-3</v>
      </c>
      <c r="C16" s="23">
        <v>16620.02</v>
      </c>
      <c r="D16" s="23">
        <f t="shared" si="1"/>
        <v>27.921633600000003</v>
      </c>
      <c r="M16" t="s">
        <v>0</v>
      </c>
      <c r="N16" t="s">
        <v>1</v>
      </c>
      <c r="O16" t="s">
        <v>2</v>
      </c>
      <c r="R16" s="26">
        <f>(B19+B27)</f>
        <v>4.7999999999999898E-4</v>
      </c>
      <c r="S16" s="23">
        <f t="shared" si="2"/>
        <v>15650.000000000033</v>
      </c>
      <c r="T16" s="23">
        <f>(D19+D27)</f>
        <v>7.5119999999999996</v>
      </c>
    </row>
    <row r="17" spans="2:26">
      <c r="B17" s="26">
        <v>9.2133999999999998E-4</v>
      </c>
      <c r="C17" s="23">
        <f t="shared" ref="C17:C26" si="3">(D17/B17)</f>
        <v>11244.491718583802</v>
      </c>
      <c r="D17" s="23">
        <v>10.36</v>
      </c>
      <c r="L17" t="s">
        <v>11</v>
      </c>
      <c r="M17">
        <f>($B$17/5)</f>
        <v>1.8426799999999999E-4</v>
      </c>
      <c r="N17" s="23">
        <f>(C18)</f>
        <v>16444.444444444442</v>
      </c>
      <c r="O17" s="30">
        <f>(N17*M17)</f>
        <v>3.030184888888888</v>
      </c>
      <c r="P17" t="s">
        <v>12</v>
      </c>
      <c r="R17" s="26">
        <f>(B20+B28)</f>
        <v>7.3329999999999999E-4</v>
      </c>
      <c r="S17" s="23">
        <f t="shared" si="2"/>
        <v>16031.774171553252</v>
      </c>
      <c r="T17" s="23">
        <f>(D20+D28)</f>
        <v>11.7561</v>
      </c>
    </row>
    <row r="18" spans="2:26">
      <c r="B18" s="26">
        <v>-1.8000000000000001E-4</v>
      </c>
      <c r="C18" s="23">
        <f t="shared" si="3"/>
        <v>16444.444444444442</v>
      </c>
      <c r="D18" s="23">
        <f>(-2.96)</f>
        <v>-2.96</v>
      </c>
      <c r="M18">
        <f>($B$17/5)</f>
        <v>1.8426799999999999E-4</v>
      </c>
      <c r="N18" s="23">
        <f>(C21)</f>
        <v>17119.565217391304</v>
      </c>
      <c r="O18" s="30">
        <f>(N18*M18)</f>
        <v>3.1545880434782605</v>
      </c>
      <c r="P18" t="s">
        <v>12</v>
      </c>
      <c r="R18" s="26">
        <f>(B22+B27)</f>
        <v>4.6000000000000001E-4</v>
      </c>
      <c r="S18" s="23">
        <f t="shared" si="2"/>
        <v>15907.391304347828</v>
      </c>
      <c r="T18" s="23">
        <f>(D22+D29)</f>
        <v>7.317400000000001</v>
      </c>
    </row>
    <row r="19" spans="2:26">
      <c r="B19" s="26">
        <v>5.9999999999999897E-4</v>
      </c>
      <c r="C19" s="23">
        <f t="shared" si="3"/>
        <v>16700.000000000029</v>
      </c>
      <c r="D19" s="23">
        <v>10.02</v>
      </c>
      <c r="F19" s="26"/>
      <c r="I19" s="24"/>
      <c r="M19">
        <f>($B$17/5)</f>
        <v>1.8426799999999999E-4</v>
      </c>
      <c r="N19" s="23">
        <f>(C33)</f>
        <v>22908</v>
      </c>
      <c r="O19" s="30">
        <f>(N19*M19)</f>
        <v>4.2212113439999994</v>
      </c>
      <c r="P19" t="s">
        <v>12</v>
      </c>
      <c r="R19" s="26">
        <f>(B23+B32)</f>
        <v>6.5727999999999993E-3</v>
      </c>
      <c r="S19" s="23">
        <f t="shared" si="2"/>
        <v>24666.199914800392</v>
      </c>
      <c r="T19" s="23">
        <f>(D23+17438.6*B32)</f>
        <v>162.12599879999999</v>
      </c>
      <c r="U19" t="s">
        <v>10</v>
      </c>
    </row>
    <row r="20" spans="2:26">
      <c r="B20" s="26">
        <v>9.1330000000000003E-4</v>
      </c>
      <c r="C20" s="23">
        <f t="shared" si="3"/>
        <v>17080.915361874519</v>
      </c>
      <c r="D20" s="23">
        <v>15.6</v>
      </c>
      <c r="M20">
        <f>($B$17/5)</f>
        <v>1.8426799999999999E-4</v>
      </c>
      <c r="N20" s="23">
        <f>($C$17*[1]Params!K18)</f>
        <v>89955.933748670417</v>
      </c>
      <c r="O20" s="30">
        <f>(N20*M20)</f>
        <v>16.576000000000001</v>
      </c>
      <c r="R20" s="26">
        <f>(B24+B31)</f>
        <v>1.4982299999999999E-3</v>
      </c>
      <c r="S20" s="23">
        <f t="shared" si="2"/>
        <v>26033.358628514983</v>
      </c>
      <c r="T20" s="23">
        <f>(D24+17211.7*B31)</f>
        <v>39.003958898</v>
      </c>
      <c r="U20" t="s">
        <v>15</v>
      </c>
    </row>
    <row r="21" spans="2:26">
      <c r="B21" s="26">
        <v>-1.84E-4</v>
      </c>
      <c r="C21" s="23">
        <f t="shared" si="3"/>
        <v>17119.565217391304</v>
      </c>
      <c r="D21" s="23">
        <v>-3.15</v>
      </c>
      <c r="R21" s="26">
        <f>(B25+B30)</f>
        <v>2.376E-5</v>
      </c>
      <c r="S21" s="23">
        <f t="shared" si="2"/>
        <v>15653.771043771043</v>
      </c>
      <c r="T21" s="23">
        <f>(D25+D30)</f>
        <v>0.37193359999999998</v>
      </c>
    </row>
    <row r="22" spans="2:26">
      <c r="B22" s="26">
        <v>5.8E-4</v>
      </c>
      <c r="C22" s="23">
        <f t="shared" si="3"/>
        <v>17034.482758620692</v>
      </c>
      <c r="D22" s="23">
        <v>9.8800000000000008</v>
      </c>
      <c r="O22" s="30">
        <f>(SUM(O17:O20))</f>
        <v>26.98198427636715</v>
      </c>
      <c r="R22" s="26">
        <f>(B31-B31)</f>
        <v>0</v>
      </c>
      <c r="S22" s="23">
        <v>0</v>
      </c>
      <c r="T22" s="23">
        <f>(17211.7*-B31+D31)</f>
        <v>-0.22637249800000003</v>
      </c>
      <c r="U22" t="s">
        <v>16</v>
      </c>
    </row>
    <row r="23" spans="2:26">
      <c r="B23" s="26">
        <v>6.9147999999999996E-3</v>
      </c>
      <c r="C23" s="23">
        <f t="shared" si="3"/>
        <v>24308.729102794008</v>
      </c>
      <c r="D23" s="23">
        <v>168.09</v>
      </c>
      <c r="E23" t="s">
        <v>10</v>
      </c>
      <c r="R23" s="26">
        <f>(B32-B32)</f>
        <v>0</v>
      </c>
      <c r="S23" s="23">
        <v>0</v>
      </c>
      <c r="T23" s="23">
        <f>(17438.6*-B32+D32)</f>
        <v>-1.4915987999999993</v>
      </c>
      <c r="U23" t="s">
        <v>17</v>
      </c>
    </row>
    <row r="24" spans="2:26">
      <c r="B24" s="26">
        <v>1.55029E-3</v>
      </c>
      <c r="C24" s="23">
        <f t="shared" si="3"/>
        <v>25737.120151713549</v>
      </c>
      <c r="D24" s="23">
        <v>39.9</v>
      </c>
      <c r="E24" t="s">
        <v>15</v>
      </c>
      <c r="M24" t="s">
        <v>0</v>
      </c>
      <c r="N24" t="s">
        <v>1</v>
      </c>
      <c r="O24" t="s">
        <v>2</v>
      </c>
      <c r="R24" s="26">
        <f>(B34)</f>
        <v>1.7846299999999999E-3</v>
      </c>
      <c r="S24" s="23">
        <f>(T24/R24)</f>
        <v>27372.620655261875</v>
      </c>
      <c r="T24" s="23">
        <f>(D34)</f>
        <v>48.85</v>
      </c>
      <c r="U24" t="s">
        <v>18</v>
      </c>
    </row>
    <row r="25" spans="2:26">
      <c r="B25" s="26">
        <v>2.97E-5</v>
      </c>
      <c r="C25" s="23">
        <f t="shared" si="3"/>
        <v>16835.016835016835</v>
      </c>
      <c r="D25" s="23">
        <v>0.5</v>
      </c>
      <c r="L25" t="s">
        <v>11</v>
      </c>
      <c r="M25">
        <f>($B$19/5)</f>
        <v>1.199999999999998E-4</v>
      </c>
      <c r="N25" s="23">
        <f>(C27)</f>
        <v>20900</v>
      </c>
      <c r="O25" s="30">
        <f>(N25*M25)</f>
        <v>2.507999999999996</v>
      </c>
      <c r="P25" t="s">
        <v>12</v>
      </c>
    </row>
    <row r="26" spans="2:26">
      <c r="B26" s="26">
        <v>-3.3599999999999998E-4</v>
      </c>
      <c r="C26" s="23">
        <f t="shared" si="3"/>
        <v>20979.026577380951</v>
      </c>
      <c r="D26" s="23">
        <f>(-7.04895293)</f>
        <v>-7.0489529299999996</v>
      </c>
      <c r="M26">
        <f>($B$19/5)</f>
        <v>1.199999999999998E-4</v>
      </c>
      <c r="N26" s="23">
        <f>($C$19*[1]Params!K16)</f>
        <v>33400.000000000058</v>
      </c>
      <c r="O26" s="30">
        <f>(N26*M26)</f>
        <v>4.008</v>
      </c>
    </row>
    <row r="27" spans="2:26">
      <c r="B27" s="26">
        <v>-1.2E-4</v>
      </c>
      <c r="C27" s="23">
        <v>20900</v>
      </c>
      <c r="D27" s="23">
        <f>(C27*B27)</f>
        <v>-2.508</v>
      </c>
      <c r="M27">
        <f>($B$19/5)</f>
        <v>1.199999999999998E-4</v>
      </c>
      <c r="N27" s="23">
        <f>($C$19*[1]Params!K17)</f>
        <v>66800.000000000116</v>
      </c>
      <c r="O27" s="30">
        <f>(N27*M27)</f>
        <v>8.016</v>
      </c>
    </row>
    <row r="28" spans="2:26">
      <c r="B28" s="26">
        <v>-1.8000000000000001E-4</v>
      </c>
      <c r="C28" s="23">
        <v>21355</v>
      </c>
      <c r="D28" s="23">
        <f>(B28*C28)</f>
        <v>-3.8439000000000001</v>
      </c>
      <c r="M28">
        <f>($B$19/5)</f>
        <v>1.199999999999998E-4</v>
      </c>
      <c r="N28" s="23">
        <f>($C$19*[1]Params!K18)</f>
        <v>133600.00000000023</v>
      </c>
      <c r="O28" s="30">
        <f>(N28*M28)</f>
        <v>16.032</v>
      </c>
    </row>
    <row r="29" spans="2:26">
      <c r="B29" s="26">
        <v>-1.2E-4</v>
      </c>
      <c r="C29" s="23">
        <v>21355</v>
      </c>
      <c r="D29" s="23">
        <f>(C29*B29)</f>
        <v>-2.5626000000000002</v>
      </c>
    </row>
    <row r="30" spans="2:26">
      <c r="B30" s="26">
        <f>(-M65)</f>
        <v>-5.9399999999999999E-6</v>
      </c>
      <c r="C30" s="23">
        <v>21560</v>
      </c>
      <c r="D30" s="23">
        <f>(C30*B30)</f>
        <v>-0.1280664</v>
      </c>
      <c r="O30" s="30">
        <f>(SUM(O25:O28))</f>
        <v>30.563999999999997</v>
      </c>
    </row>
    <row r="31" spans="2:26">
      <c r="B31" s="26">
        <f>(-0.000058-B30)</f>
        <v>-5.206E-5</v>
      </c>
      <c r="C31" s="23">
        <v>21560</v>
      </c>
      <c r="D31" s="23">
        <f>(C31*B31)</f>
        <v>-1.1224136</v>
      </c>
      <c r="Z31" s="24"/>
    </row>
    <row r="32" spans="2:26">
      <c r="B32" s="26">
        <v>-3.4200000000000002E-4</v>
      </c>
      <c r="C32" s="23">
        <f>(D32/B32)</f>
        <v>21799.999999999996</v>
      </c>
      <c r="D32" s="23">
        <v>-7.4555999999999996</v>
      </c>
      <c r="M32" t="s">
        <v>0</v>
      </c>
      <c r="N32" t="s">
        <v>1</v>
      </c>
      <c r="O32" t="s">
        <v>2</v>
      </c>
      <c r="Z32" s="24"/>
    </row>
    <row r="33" spans="2:20">
      <c r="B33" s="26">
        <f>(-0.000184)</f>
        <v>-1.84E-4</v>
      </c>
      <c r="C33" s="23">
        <f>(D33/B33)</f>
        <v>22908</v>
      </c>
      <c r="D33" s="23">
        <f>(-4.215072)</f>
        <v>-4.2150720000000002</v>
      </c>
      <c r="L33" t="s">
        <v>11</v>
      </c>
      <c r="M33">
        <f>($B$20/5)</f>
        <v>1.8266000000000002E-4</v>
      </c>
      <c r="N33" s="23">
        <f>(C28)</f>
        <v>21355</v>
      </c>
      <c r="O33" s="30">
        <f>(N33*M33)</f>
        <v>3.9007043000000006</v>
      </c>
      <c r="P33" t="s">
        <v>12</v>
      </c>
    </row>
    <row r="34" spans="2:20">
      <c r="B34" s="26">
        <v>1.7846299999999999E-3</v>
      </c>
      <c r="C34" s="23">
        <f>(D34/B34)</f>
        <v>27372.620655261875</v>
      </c>
      <c r="D34" s="23">
        <v>48.85</v>
      </c>
      <c r="E34" t="s">
        <v>18</v>
      </c>
      <c r="M34">
        <f>($B$20/5)</f>
        <v>1.8266000000000002E-4</v>
      </c>
      <c r="N34" s="23">
        <f>($C$20*[1]Params!K16)</f>
        <v>34161.830723749037</v>
      </c>
      <c r="O34" s="30">
        <f>(N34*M34)</f>
        <v>6.2399999999999993</v>
      </c>
    </row>
    <row r="35" spans="2:20">
      <c r="B35" s="26">
        <f>0.00073-0.00000073</f>
        <v>7.2926999999999996E-4</v>
      </c>
      <c r="C35" s="23">
        <f>(D35/B35)</f>
        <v>27395.295295295298</v>
      </c>
      <c r="D35" s="23">
        <v>19.978567000000002</v>
      </c>
      <c r="M35">
        <f>($B$20/5)</f>
        <v>1.8266000000000002E-4</v>
      </c>
      <c r="N35" s="23">
        <f>($C$20*[1]Params!K17)</f>
        <v>68323.661447498074</v>
      </c>
      <c r="O35" s="30">
        <f>(N35*M35)</f>
        <v>12.479999999999999</v>
      </c>
    </row>
    <row r="36" spans="2:20">
      <c r="B36" s="26">
        <v>-1.08507E-3</v>
      </c>
      <c r="C36" s="23">
        <v>42783</v>
      </c>
      <c r="D36" s="23">
        <f>C36*B36</f>
        <v>-46.42254981</v>
      </c>
      <c r="E36" t="s">
        <v>23</v>
      </c>
      <c r="F36">
        <v>2.0379600000000001E-2</v>
      </c>
      <c r="G36" t="s">
        <v>24</v>
      </c>
      <c r="H36">
        <v>0.06</v>
      </c>
      <c r="M36">
        <f>($B$20/5)</f>
        <v>1.8266000000000002E-4</v>
      </c>
      <c r="N36" s="23">
        <f>($C$20*[1]Params!K18)</f>
        <v>136647.32289499615</v>
      </c>
      <c r="O36" s="30">
        <f>(N36*M36)</f>
        <v>24.959999999999997</v>
      </c>
    </row>
    <row r="37" spans="2:20">
      <c r="F37" t="s">
        <v>9</v>
      </c>
      <c r="G37" s="24">
        <f>(D38/B38)</f>
        <v>23506.514102108111</v>
      </c>
      <c r="R37">
        <f>(SUM(R5:R25))</f>
        <v>2.9511369999999995E-2</v>
      </c>
      <c r="T37" s="23">
        <f>(SUM(T5:T25))</f>
        <v>547.68980017000001</v>
      </c>
    </row>
    <row r="38" spans="2:20">
      <c r="B38">
        <f>(SUM(B5:B37))</f>
        <v>2.9155570000000002E-2</v>
      </c>
      <c r="D38" s="23">
        <f>(SUM(D5:D37))</f>
        <v>685.34581736000018</v>
      </c>
      <c r="O38" s="30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23">
        <f>(C29)</f>
        <v>21355</v>
      </c>
      <c r="O41" s="30">
        <f>(N41*M41)</f>
        <v>2.5626000000000002</v>
      </c>
      <c r="P41" t="s">
        <v>12</v>
      </c>
    </row>
    <row r="42" spans="2:20">
      <c r="M42">
        <f>($B$22/5)</f>
        <v>1.16E-4</v>
      </c>
      <c r="N42" s="23">
        <f>($C$22*[1]Params!K16)</f>
        <v>34068.965517241384</v>
      </c>
      <c r="O42" s="30">
        <f>(N42*M42)</f>
        <v>3.9520000000000004</v>
      </c>
    </row>
    <row r="43" spans="2:20">
      <c r="M43">
        <f>($B$22/5)</f>
        <v>1.16E-4</v>
      </c>
      <c r="N43" s="23">
        <f>($C$22*[1]Params!K17)</f>
        <v>68137.931034482768</v>
      </c>
      <c r="O43" s="30">
        <f>(N43*M43)</f>
        <v>7.9040000000000008</v>
      </c>
    </row>
    <row r="44" spans="2:20">
      <c r="M44">
        <f>($B$22/5)</f>
        <v>1.16E-4</v>
      </c>
      <c r="N44" s="23">
        <f>($C$22*[1]Params!K18)</f>
        <v>136275.86206896554</v>
      </c>
      <c r="O44" s="30">
        <f>(N44*M44)</f>
        <v>15.808000000000002</v>
      </c>
    </row>
    <row r="46" spans="2:20">
      <c r="O46" s="30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23">
        <f>(C32)</f>
        <v>21799.999999999996</v>
      </c>
      <c r="O49" s="30">
        <f>(N49*M49)</f>
        <v>7.4555999999999996</v>
      </c>
      <c r="P49" t="s">
        <v>12</v>
      </c>
    </row>
    <row r="50" spans="12:16">
      <c r="M50">
        <f>(2*($R$19+M49)/5-M49)</f>
        <v>2.42392E-3</v>
      </c>
      <c r="N50" s="23">
        <f>($S$19*[1]Params!K16)</f>
        <v>49332.399829600785</v>
      </c>
      <c r="O50" s="30">
        <f>(N50*M50)</f>
        <v>119.57779059496593</v>
      </c>
    </row>
    <row r="51" spans="12:16">
      <c r="M51">
        <f>($B$23/5)</f>
        <v>1.3829599999999999E-3</v>
      </c>
      <c r="N51" s="23">
        <f>($S$19*[1]Params!K17)</f>
        <v>98664.79965920157</v>
      </c>
      <c r="O51" s="30">
        <f>(N51*M51)</f>
        <v>136.44947133668938</v>
      </c>
    </row>
    <row r="52" spans="12:16">
      <c r="M52">
        <f>($B$23/5)</f>
        <v>1.3829599999999999E-3</v>
      </c>
      <c r="N52" s="23">
        <f>($S$19*[1]Params!K18)</f>
        <v>197329.59931840314</v>
      </c>
      <c r="O52" s="30">
        <f>(N52*M52)</f>
        <v>272.89894267337877</v>
      </c>
    </row>
    <row r="54" spans="12:16">
      <c r="O54" s="30">
        <f>(SUM(O49:O52))</f>
        <v>536.38180460503406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23">
        <f>(C31)</f>
        <v>21560</v>
      </c>
      <c r="O57" s="30">
        <f>(N57*M57)</f>
        <v>1.1224136</v>
      </c>
      <c r="P57" t="s">
        <v>12</v>
      </c>
    </row>
    <row r="58" spans="12:16">
      <c r="M58">
        <f>(2*($R$20+M57)/5-M57)</f>
        <v>5.6805599999999994E-4</v>
      </c>
      <c r="N58" s="23">
        <f>($S$20*[1]Params!K16)</f>
        <v>52066.717257029966</v>
      </c>
      <c r="O58" s="30">
        <f>(N58*M58)</f>
        <v>29.57681113815941</v>
      </c>
    </row>
    <row r="59" spans="12:16">
      <c r="M59">
        <f>($B$24/5)</f>
        <v>3.1005799999999999E-4</v>
      </c>
      <c r="N59" s="23">
        <f>($S$20*[1]Params!K17)</f>
        <v>104133.43451405993</v>
      </c>
      <c r="O59" s="30">
        <f>(N59*M59)</f>
        <v>32.287404438560394</v>
      </c>
    </row>
    <row r="60" spans="12:16">
      <c r="M60">
        <f>($B$24/5)</f>
        <v>3.1005799999999999E-4</v>
      </c>
      <c r="N60" s="23">
        <f>($S$20*[1]Params!K18)</f>
        <v>208266.86902811987</v>
      </c>
      <c r="O60" s="30">
        <f>(N60*M60)</f>
        <v>64.574808877120788</v>
      </c>
    </row>
    <row r="62" spans="12:16">
      <c r="O62" s="30">
        <f>(SUM(O57:O60))</f>
        <v>127.56143805384059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23">
        <f>(C30)</f>
        <v>21560</v>
      </c>
      <c r="O65" s="30">
        <f>(N65*M65)</f>
        <v>0.1280664</v>
      </c>
      <c r="P65" t="s">
        <v>12</v>
      </c>
    </row>
    <row r="66" spans="12:16">
      <c r="M66">
        <f>($B$25/5)</f>
        <v>5.9399999999999999E-6</v>
      </c>
      <c r="N66" s="23">
        <f>($C$25*[1]Params!K16)</f>
        <v>33670.03367003367</v>
      </c>
      <c r="O66" s="30">
        <f>(N66*M66)</f>
        <v>0.19999999999999998</v>
      </c>
    </row>
    <row r="67" spans="12:16">
      <c r="M67">
        <f>($B$25/5)</f>
        <v>5.9399999999999999E-6</v>
      </c>
      <c r="N67" s="23">
        <f>($C$25*[1]Params!K17)</f>
        <v>67340.06734006734</v>
      </c>
      <c r="O67" s="30">
        <f>(N67*M67)</f>
        <v>0.39999999999999997</v>
      </c>
    </row>
    <row r="68" spans="12:16">
      <c r="M68">
        <f>($B$25/5)</f>
        <v>5.9399999999999999E-6</v>
      </c>
      <c r="N68" s="23">
        <f>($C$25*[1]Params!K18)</f>
        <v>134680.13468013468</v>
      </c>
      <c r="O68" s="30">
        <f>(N68*M68)</f>
        <v>0.79999999999999993</v>
      </c>
    </row>
    <row r="70" spans="12:16">
      <c r="O70" s="30">
        <f>(SUM(O65:O68))</f>
        <v>1.5280663999999997</v>
      </c>
    </row>
    <row r="72" spans="12:16">
      <c r="L72" t="s">
        <v>25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3.5692599999999998E-4</v>
      </c>
      <c r="N73" s="23">
        <f>($S$24*[1]Params!K15)</f>
        <v>41058.930982892809</v>
      </c>
      <c r="O73" s="30">
        <f>(N73*M73)</f>
        <v>14.654999999999998</v>
      </c>
    </row>
    <row r="74" spans="12:16">
      <c r="M74">
        <f>($R$24/5)</f>
        <v>3.5692599999999998E-4</v>
      </c>
      <c r="N74" s="23">
        <f>($S$24*[1]Params!K16)</f>
        <v>54745.24131052375</v>
      </c>
      <c r="O74" s="30">
        <f>(N74*M74)</f>
        <v>19.54</v>
      </c>
    </row>
    <row r="75" spans="12:16">
      <c r="M75">
        <f>($R$24/5)</f>
        <v>3.5692599999999998E-4</v>
      </c>
      <c r="N75" s="23">
        <f>($S$24*[1]Params!K17)</f>
        <v>109490.4826210475</v>
      </c>
      <c r="O75" s="30">
        <f>(N75*M75)</f>
        <v>39.08</v>
      </c>
    </row>
    <row r="76" spans="12:16">
      <c r="M76">
        <f>($R$24/5)</f>
        <v>3.5692599999999998E-4</v>
      </c>
      <c r="N76" s="23">
        <f>($S$24*[1]Params!K18)</f>
        <v>218980.965242095</v>
      </c>
      <c r="O76" s="30">
        <f>(N76*M76)</f>
        <v>78.16</v>
      </c>
    </row>
    <row r="78" spans="12:16">
      <c r="O78" s="30">
        <f>(SUM(O73:O76))</f>
        <v>151.435</v>
      </c>
    </row>
  </sheetData>
  <conditionalFormatting sqref="C5 C7:C17 C19:C20 C22:C25 C34:C36 G37 N10:N12 N20 N26:N28 N34:N35 S5 S7:S21 S24">
    <cfRule type="cellIs" dxfId="291" priority="45" operator="lessThan">
      <formula>$J$3</formula>
    </cfRule>
    <cfRule type="cellIs" dxfId="290" priority="46" operator="greaterThan">
      <formula>$J$3</formula>
    </cfRule>
  </conditionalFormatting>
  <conditionalFormatting sqref="N36">
    <cfRule type="cellIs" dxfId="289" priority="19" operator="lessThan">
      <formula>$J$3</formula>
    </cfRule>
    <cfRule type="cellIs" dxfId="288" priority="20" operator="greaterThan">
      <formula>$J$3</formula>
    </cfRule>
  </conditionalFormatting>
  <conditionalFormatting sqref="N42:N44">
    <cfRule type="cellIs" dxfId="287" priority="17" operator="lessThan">
      <formula>$J$3</formula>
    </cfRule>
    <cfRule type="cellIs" dxfId="286" priority="18" operator="greaterThan">
      <formula>$J$3</formula>
    </cfRule>
  </conditionalFormatting>
  <conditionalFormatting sqref="N50:N52">
    <cfRule type="cellIs" dxfId="285" priority="15" operator="lessThan">
      <formula>$J$3</formula>
    </cfRule>
    <cfRule type="cellIs" dxfId="284" priority="16" operator="greaterThan">
      <formula>$J$3</formula>
    </cfRule>
  </conditionalFormatting>
  <conditionalFormatting sqref="N58:N60">
    <cfRule type="cellIs" dxfId="283" priority="13" operator="lessThan">
      <formula>$J$3</formula>
    </cfRule>
    <cfRule type="cellIs" dxfId="282" priority="14" operator="greaterThan">
      <formula>$J$3</formula>
    </cfRule>
  </conditionalFormatting>
  <conditionalFormatting sqref="N66:N68">
    <cfRule type="cellIs" dxfId="281" priority="11" operator="lessThan">
      <formula>$J$3</formula>
    </cfRule>
    <cfRule type="cellIs" dxfId="280" priority="12" operator="greaterThan">
      <formula>$J$3</formula>
    </cfRule>
  </conditionalFormatting>
  <conditionalFormatting sqref="N73:N76">
    <cfRule type="cellIs" dxfId="279" priority="9" operator="lessThan">
      <formula>$J$3</formula>
    </cfRule>
    <cfRule type="cellIs" dxfId="278" priority="10" operator="greaterThan">
      <formula>$J$3</formula>
    </cfRule>
  </conditionalFormatting>
  <conditionalFormatting sqref="N4">
    <cfRule type="cellIs" dxfId="277" priority="1" operator="greaterThan">
      <formula>$J$3</formula>
    </cfRule>
    <cfRule type="cellIs" dxfId="276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4"/>
  <sheetViews>
    <sheetView workbookViewId="0">
      <selection activeCell="U9" sqref="U9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0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8.7571211201529398</v>
      </c>
      <c r="M3" t="s">
        <v>4</v>
      </c>
      <c r="N3" s="26">
        <f>(INDEX(N5:N18,MATCH(MAX(O6:O7),O5:O18,0))/0.9)</f>
        <v>0.54833333333333334</v>
      </c>
      <c r="O3" s="24">
        <f>(MAX(O6:O7)*0.85)</f>
        <v>7.4624592380952368</v>
      </c>
      <c r="P3" s="45">
        <f>(O3*N3)</f>
        <v>4.0919151488888881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(B12*J3)</f>
        <v>12.771923741866303</v>
      </c>
      <c r="K4" s="4">
        <f>(J4/D12-1)</f>
        <v>2.5561263730194295</v>
      </c>
      <c r="R4" t="s">
        <v>5</v>
      </c>
      <c r="S4" t="s">
        <v>6</v>
      </c>
      <c r="T4" t="s">
        <v>7</v>
      </c>
    </row>
    <row r="5" spans="2:21">
      <c r="B5" s="1">
        <v>2.33660749</v>
      </c>
      <c r="C5" s="23">
        <f>(D5/B5)</f>
        <v>4.6734421791997249</v>
      </c>
      <c r="D5" s="23">
        <v>10.92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</f>
        <v>1.40110749</v>
      </c>
      <c r="S5" s="23">
        <f>(T5/R5)</f>
        <v>4.6919287041995608</v>
      </c>
      <c r="T5" s="23">
        <f>(D5)+(B7)*4.615+(B8)*4.6733</f>
        <v>6.5738964499999994</v>
      </c>
    </row>
    <row r="6" spans="2:21">
      <c r="B6" s="2">
        <v>2.26377E-3</v>
      </c>
      <c r="C6" s="28">
        <v>0</v>
      </c>
      <c r="D6" s="29">
        <f>(B6*C6)</f>
        <v>0</v>
      </c>
      <c r="E6" s="23">
        <f>(B6*J3)</f>
        <v>1.9824108078168621E-2</v>
      </c>
      <c r="M6" t="s">
        <v>11</v>
      </c>
      <c r="N6" s="26">
        <f>-B7</f>
        <v>0.442</v>
      </c>
      <c r="O6" s="23">
        <f>P6/N6</f>
        <v>6.1223448642533933</v>
      </c>
      <c r="P6" s="23">
        <f>-D7</f>
        <v>2.70607643</v>
      </c>
      <c r="Q6" t="s">
        <v>12</v>
      </c>
      <c r="R6" s="2">
        <f>(B6)</f>
        <v>2.26377E-3</v>
      </c>
      <c r="S6" s="28">
        <f>(T6/R6)</f>
        <v>0</v>
      </c>
      <c r="T6" s="29">
        <f>(D6)</f>
        <v>0</v>
      </c>
    </row>
    <row r="7" spans="2:21">
      <c r="B7" s="1">
        <v>-0.442</v>
      </c>
      <c r="C7" s="24">
        <f>D7/B7</f>
        <v>6.1223448642533933</v>
      </c>
      <c r="D7" s="23">
        <v>-2.70607643</v>
      </c>
      <c r="N7" s="26">
        <f>-B8</f>
        <v>0.49349999999999999</v>
      </c>
      <c r="O7" s="23">
        <f>P7/N7</f>
        <v>8.779363809523808</v>
      </c>
      <c r="P7" s="23">
        <f>-D8</f>
        <v>4.3326160399999996</v>
      </c>
      <c r="Q7" t="s">
        <v>12</v>
      </c>
      <c r="R7" s="1">
        <f>(B7)-B7</f>
        <v>0</v>
      </c>
      <c r="S7" s="23">
        <v>0</v>
      </c>
      <c r="T7" s="23">
        <f>(D7)-B7*4.615</f>
        <v>-0.66624642999999972</v>
      </c>
    </row>
    <row r="8" spans="2:21">
      <c r="B8">
        <v>-0.49349999999999999</v>
      </c>
      <c r="C8" s="24">
        <f>D8/B8</f>
        <v>8.779363809523808</v>
      </c>
      <c r="D8" s="23">
        <v>-4.3326160399999996</v>
      </c>
      <c r="N8" s="26">
        <f>3*($B$12+$N$6+N7)/5-$N$6-N7</f>
        <v>0.5008768819999998</v>
      </c>
      <c r="O8" s="23">
        <f>($C$5*[1]Params!K10)</f>
        <v>10.281572794239395</v>
      </c>
      <c r="P8" s="23">
        <f>(O8*N8)</f>
        <v>5.1498021232346538</v>
      </c>
      <c r="R8" s="1">
        <f>(B8)-B8</f>
        <v>0</v>
      </c>
      <c r="S8" s="23">
        <v>0</v>
      </c>
      <c r="T8" s="23">
        <f>(D8)-B8*4.6733</f>
        <v>-2.0263424899999993</v>
      </c>
    </row>
    <row r="9" spans="2:21">
      <c r="B9">
        <v>-0.46779999999999999</v>
      </c>
      <c r="C9" s="24">
        <f>D9/B9</f>
        <v>11.115392411286875</v>
      </c>
      <c r="D9" s="23">
        <v>-5.1997805699999997</v>
      </c>
      <c r="N9" s="26">
        <f>B5/5</f>
        <v>0.467321498</v>
      </c>
      <c r="O9" s="23">
        <f>($C$5*[1]Params!K11)</f>
        <v>23.367210895998625</v>
      </c>
      <c r="P9" s="23">
        <f>(O9*N9)</f>
        <v>10.92</v>
      </c>
      <c r="R9" s="1">
        <f>(B9)+B10</f>
        <v>5.5090210000000028E-2</v>
      </c>
      <c r="S9" s="23">
        <v>0</v>
      </c>
      <c r="T9" s="23">
        <f>(D9)+D10</f>
        <v>-0.28978056999999957</v>
      </c>
      <c r="U9" s="24"/>
    </row>
    <row r="10" spans="2:21">
      <c r="B10" s="1">
        <v>0.52289021000000002</v>
      </c>
      <c r="C10" s="23">
        <f>(D10/B10)</f>
        <v>9.3901165217837992</v>
      </c>
      <c r="D10" s="23">
        <v>4.91</v>
      </c>
      <c r="R10" s="1"/>
      <c r="S10" s="23"/>
      <c r="T10" s="23"/>
    </row>
    <row r="11" spans="2:21">
      <c r="F11" t="s">
        <v>9</v>
      </c>
      <c r="G11" s="23">
        <f>(D12/B12)</f>
        <v>2.4625449721342321</v>
      </c>
      <c r="P11" s="23">
        <f>(SUM(P6:P9))</f>
        <v>23.108494593234653</v>
      </c>
      <c r="R11" s="1"/>
      <c r="S11" s="23"/>
      <c r="T11" s="23"/>
    </row>
    <row r="12" spans="2:21">
      <c r="B12">
        <f>(SUM(B5:B11))</f>
        <v>1.45846147</v>
      </c>
      <c r="D12" s="23">
        <f>(SUM(D5:D11))</f>
        <v>3.5915269600000013</v>
      </c>
      <c r="R12" s="1"/>
      <c r="S12" s="23"/>
      <c r="T12" s="23"/>
    </row>
    <row r="13" spans="2:21">
      <c r="R13" s="1"/>
      <c r="S13" s="23"/>
      <c r="T13" s="24"/>
    </row>
    <row r="14" spans="2:21">
      <c r="P14" s="23"/>
    </row>
    <row r="24" spans="18:20">
      <c r="R24">
        <f>(SUM(R5:R23))</f>
        <v>1.45846147</v>
      </c>
      <c r="T24" s="23">
        <f>(SUM(T5:T23))</f>
        <v>3.5915269600000013</v>
      </c>
    </row>
  </sheetData>
  <conditionalFormatting sqref="C5 G11 O8:O9 S5">
    <cfRule type="cellIs" dxfId="147" priority="11" operator="lessThan">
      <formula>$J$3</formula>
    </cfRule>
    <cfRule type="cellIs" dxfId="146" priority="12" operator="greaterThan">
      <formula>$J$3</formula>
    </cfRule>
  </conditionalFormatting>
  <conditionalFormatting sqref="O3">
    <cfRule type="cellIs" dxfId="145" priority="3" operator="greaterThan">
      <formula>$J$3</formula>
    </cfRule>
    <cfRule type="cellIs" dxfId="144" priority="4" operator="lessThan">
      <formula>$J$3</formula>
    </cfRule>
  </conditionalFormatting>
  <conditionalFormatting sqref="C10">
    <cfRule type="cellIs" dxfId="143" priority="1" operator="lessThan">
      <formula>$J$3</formula>
    </cfRule>
    <cfRule type="cellIs" dxfId="142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Z41" sqref="Z41"/>
    </sheetView>
  </sheetViews>
  <sheetFormatPr baseColWidth="10" defaultColWidth="9.140625" defaultRowHeight="15"/>
  <cols>
    <col min="2" max="2" width="8.57031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0.80692055261287121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2.3596931034963191</v>
      </c>
      <c r="K4" s="4">
        <f>(J4/D10-1)</f>
        <v>-0.21343563216789363</v>
      </c>
    </row>
    <row r="5" spans="2:16">
      <c r="B5" s="35">
        <v>2.9243190000000001</v>
      </c>
      <c r="C5" s="23">
        <f>(D5/B5)</f>
        <v>1.0258798715188049</v>
      </c>
      <c r="D5" s="23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B6" s="26"/>
      <c r="C6" s="23"/>
      <c r="D6" s="23"/>
      <c r="M6" t="s">
        <v>11</v>
      </c>
      <c r="N6" s="26">
        <f>($B$5/5)</f>
        <v>0.58486380000000004</v>
      </c>
      <c r="O6" s="23">
        <f>($C$5*[1]Params!K8)</f>
        <v>1.3336438329744464</v>
      </c>
      <c r="P6" s="23">
        <f>(O6*N6)</f>
        <v>0.78000000000000014</v>
      </c>
    </row>
    <row r="7" spans="2:16">
      <c r="B7" s="26"/>
      <c r="C7" s="23"/>
      <c r="D7" s="23"/>
      <c r="N7" s="26">
        <f>($B$5/5)</f>
        <v>0.58486380000000004</v>
      </c>
      <c r="O7" s="23">
        <f>($C$5*[1]Params!K9)</f>
        <v>1.641407794430088</v>
      </c>
      <c r="P7" s="23">
        <f>(O7*N7)</f>
        <v>0.96000000000000019</v>
      </c>
    </row>
    <row r="8" spans="2:16">
      <c r="B8" s="26"/>
      <c r="C8" s="23"/>
      <c r="D8" s="23"/>
      <c r="N8" s="26">
        <f>($B$5/5)</f>
        <v>0.58486380000000004</v>
      </c>
      <c r="O8" s="23">
        <f>($C$5*[1]Params!K10)</f>
        <v>2.2569357173413711</v>
      </c>
      <c r="P8" s="23">
        <f>(O8*N8)</f>
        <v>1.3200000000000003</v>
      </c>
    </row>
    <row r="9" spans="2:16">
      <c r="B9" s="26"/>
      <c r="C9" s="23"/>
      <c r="D9" s="23"/>
      <c r="F9" t="s">
        <v>9</v>
      </c>
      <c r="G9" s="23">
        <f>(D10/B10)</f>
        <v>1.0258798715188049</v>
      </c>
      <c r="H9" s="23"/>
      <c r="N9" s="26">
        <f>($B$5/5)</f>
        <v>0.58486380000000004</v>
      </c>
      <c r="O9" s="23">
        <f>($C$5*[1]Params!K11)</f>
        <v>5.1293993575940249</v>
      </c>
      <c r="P9" s="23">
        <f>(O9*N9)</f>
        <v>3.0000000000000004</v>
      </c>
    </row>
    <row r="10" spans="2:16">
      <c r="B10" s="35">
        <f>(SUM(B5:B9))</f>
        <v>2.9243190000000001</v>
      </c>
      <c r="C10" s="23"/>
      <c r="D10" s="23">
        <f>(SUM(D5:D9))</f>
        <v>3</v>
      </c>
      <c r="O10" s="23"/>
      <c r="P10" s="23"/>
    </row>
    <row r="11" spans="2:16">
      <c r="C11" s="23"/>
      <c r="D11" s="23"/>
      <c r="O11" s="23"/>
      <c r="P11" s="23">
        <f>(SUM(P6:P9))</f>
        <v>6.0600000000000005</v>
      </c>
    </row>
    <row r="12" spans="2:16">
      <c r="O12" s="23"/>
      <c r="P12" s="23"/>
    </row>
  </sheetData>
  <conditionalFormatting sqref="C5">
    <cfRule type="cellIs" dxfId="141" priority="5" operator="lessThan">
      <formula>$J$3</formula>
    </cfRule>
    <cfRule type="cellIs" dxfId="140" priority="6" operator="greaterThan">
      <formula>$J$3</formula>
    </cfRule>
  </conditionalFormatting>
  <conditionalFormatting sqref="G9">
    <cfRule type="cellIs" dxfId="139" priority="3" operator="lessThan">
      <formula>$J$3</formula>
    </cfRule>
    <cfRule type="cellIs" dxfId="138" priority="4" operator="greaterThan">
      <formula>$J$3</formula>
    </cfRule>
  </conditionalFormatting>
  <conditionalFormatting sqref="O6:O9">
    <cfRule type="cellIs" dxfId="137" priority="1" operator="lessThan">
      <formula>$J$3</formula>
    </cfRule>
    <cfRule type="cellIs" dxfId="136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2.0976007045858589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11.804052531599277</v>
      </c>
      <c r="K4" s="4">
        <f>(J4/D10-1)</f>
        <v>-2.8473042666726234E-2</v>
      </c>
    </row>
    <row r="5" spans="2:16">
      <c r="B5" s="1">
        <v>5.6098783900000004</v>
      </c>
      <c r="C5" s="23">
        <f>(D5/B5)</f>
        <v>2.1658223503843188</v>
      </c>
      <c r="D5" s="23">
        <v>12.15</v>
      </c>
      <c r="E5" t="s">
        <v>84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2">
        <v>1.7528439999999999E-2</v>
      </c>
      <c r="C6" s="28">
        <v>0</v>
      </c>
      <c r="D6" s="29">
        <f>(B6*C6)</f>
        <v>0</v>
      </c>
      <c r="E6" s="23">
        <f>(B6*J3)</f>
        <v>3.6767668094290953E-2</v>
      </c>
      <c r="M6" t="s">
        <v>11</v>
      </c>
      <c r="N6" s="1">
        <f>($B$10/5)</f>
        <v>1.1254813660000003</v>
      </c>
      <c r="O6" s="23">
        <f>($C$5*[1]Params!K8)</f>
        <v>2.8155690554996147</v>
      </c>
      <c r="P6" s="23">
        <f>(O6*N6)</f>
        <v>3.1688705066510368</v>
      </c>
    </row>
    <row r="7" spans="2:16">
      <c r="N7" s="1">
        <f>($B$10/5)</f>
        <v>1.1254813660000003</v>
      </c>
      <c r="O7" s="23">
        <f>($C$5*[1]Params!K9)</f>
        <v>3.4653157606149101</v>
      </c>
      <c r="P7" s="23">
        <f>(O7*N7)</f>
        <v>3.9001483158781989</v>
      </c>
    </row>
    <row r="8" spans="2:16">
      <c r="N8" s="1">
        <f>($B$10/5)</f>
        <v>1.1254813660000003</v>
      </c>
      <c r="O8" s="23">
        <f>($C$5*[1]Params!K10)</f>
        <v>4.7648091708455018</v>
      </c>
      <c r="P8" s="23">
        <f>(O8*N8)</f>
        <v>5.362703934332524</v>
      </c>
    </row>
    <row r="9" spans="2:16">
      <c r="F9" t="s">
        <v>9</v>
      </c>
      <c r="G9" s="23">
        <f>(D10/B10)</f>
        <v>2.1590761725681027</v>
      </c>
      <c r="N9" s="1">
        <f>($B$10/5)</f>
        <v>1.1254813660000003</v>
      </c>
      <c r="O9" s="23">
        <f>($C$5*[1]Params!K11)</f>
        <v>10.829111751921594</v>
      </c>
      <c r="P9" s="23">
        <f>(O9*N9)</f>
        <v>12.187963487119372</v>
      </c>
    </row>
    <row r="10" spans="2:16">
      <c r="B10" s="1">
        <f>(SUM(B5:B9))</f>
        <v>5.6274068300000009</v>
      </c>
      <c r="D10" s="23">
        <f>(SUM(D5:D9))</f>
        <v>12.15</v>
      </c>
    </row>
    <row r="11" spans="2:16">
      <c r="P11" s="23">
        <f>(SUM(P6:P9))</f>
        <v>24.619686243981132</v>
      </c>
    </row>
  </sheetData>
  <conditionalFormatting sqref="C5">
    <cfRule type="cellIs" dxfId="135" priority="5" operator="lessThan">
      <formula>$J$3</formula>
    </cfRule>
    <cfRule type="cellIs" dxfId="134" priority="6" operator="greaterThan">
      <formula>$J$3</formula>
    </cfRule>
  </conditionalFormatting>
  <conditionalFormatting sqref="O6:O9">
    <cfRule type="cellIs" dxfId="133" priority="3" operator="lessThan">
      <formula>$J$3</formula>
    </cfRule>
    <cfRule type="cellIs" dxfId="132" priority="4" operator="greaterThan">
      <formula>$J$3</formula>
    </cfRule>
  </conditionalFormatting>
  <conditionalFormatting sqref="G9">
    <cfRule type="cellIs" dxfId="131" priority="1" operator="lessThan">
      <formula>$J$3</formula>
    </cfRule>
    <cfRule type="cellIs" dxfId="130" priority="2" operator="greaterThan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>
  <dimension ref="B2:U22"/>
  <sheetViews>
    <sheetView workbookViewId="0">
      <selection activeCell="O3" sqref="O3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14.229610969960611</v>
      </c>
      <c r="M3" t="s">
        <v>4</v>
      </c>
      <c r="N3" s="26">
        <f>(INDEX(N5:N16,MATCH(MAX(O6:O8),O5:O16,0))/0.9)</f>
        <v>0.29066666666666668</v>
      </c>
      <c r="O3" s="24">
        <f>(MAX(O6:O8)*0.85)</f>
        <v>13.030342087155963</v>
      </c>
      <c r="P3" s="45">
        <f>(O3*N3)</f>
        <v>3.7874861000000002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(B11*J3)</f>
        <v>7.8279360991664104</v>
      </c>
      <c r="K4" s="4">
        <f>(J4/D11-1)</f>
        <v>-25.344068018299293</v>
      </c>
      <c r="R4" t="s">
        <v>5</v>
      </c>
      <c r="S4" t="s">
        <v>6</v>
      </c>
      <c r="T4" t="s">
        <v>7</v>
      </c>
    </row>
    <row r="5" spans="2:21">
      <c r="B5" s="1">
        <v>1.3293727399999999</v>
      </c>
      <c r="C5" s="23">
        <f>(D5/B5)</f>
        <v>7.0183476155829707</v>
      </c>
      <c r="D5" s="23">
        <v>9.33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(B5)+B7+B8+B9</f>
        <v>0.54777273999999987</v>
      </c>
      <c r="S5" s="23">
        <f>(T5/R5)</f>
        <v>7.1847884945862788</v>
      </c>
      <c r="T5" s="23">
        <f>(D5)+(B7+B8+B9)*6.9017</f>
        <v>3.93563128</v>
      </c>
    </row>
    <row r="6" spans="2:21">
      <c r="B6" s="2">
        <v>2.34322E-3</v>
      </c>
      <c r="C6" s="28">
        <v>0</v>
      </c>
      <c r="D6" s="29">
        <f>(B6*C6)</f>
        <v>0</v>
      </c>
      <c r="E6" s="23">
        <f>(B6*J3)</f>
        <v>3.3343109017031101E-2</v>
      </c>
      <c r="M6" t="s">
        <v>11</v>
      </c>
      <c r="N6" s="26">
        <f>-B7</f>
        <v>0.25</v>
      </c>
      <c r="O6" s="23">
        <f>P6/N6</f>
        <v>10.198829079999999</v>
      </c>
      <c r="P6" s="23">
        <f>-D7</f>
        <v>2.5497072699999999</v>
      </c>
      <c r="Q6" t="s">
        <v>12</v>
      </c>
      <c r="R6" s="2">
        <f>(B6)</f>
        <v>2.34322E-3</v>
      </c>
      <c r="S6" s="28">
        <f>(T6/R6)</f>
        <v>0</v>
      </c>
      <c r="T6" s="29">
        <f>(D6)</f>
        <v>0</v>
      </c>
    </row>
    <row r="7" spans="2:21">
      <c r="B7" s="1">
        <v>-0.25</v>
      </c>
      <c r="C7" s="23">
        <f>D7/B7</f>
        <v>10.198829079999999</v>
      </c>
      <c r="D7" s="23">
        <f>-2.54970727</f>
        <v>-2.5497072699999999</v>
      </c>
      <c r="N7" s="26">
        <f>-B8</f>
        <v>0.27</v>
      </c>
      <c r="O7" s="23">
        <f>C8</f>
        <v>11.450249925925926</v>
      </c>
      <c r="P7" s="23">
        <f>-D8</f>
        <v>3.0915674800000001</v>
      </c>
      <c r="Q7" t="s">
        <v>12</v>
      </c>
      <c r="R7" s="1">
        <f>(B7)-B7</f>
        <v>0</v>
      </c>
      <c r="S7" s="23">
        <v>0</v>
      </c>
      <c r="T7" s="23">
        <f>(D7)-B7*6.9017</f>
        <v>-0.82428226999999987</v>
      </c>
    </row>
    <row r="8" spans="2:21">
      <c r="B8" s="1">
        <v>-0.27</v>
      </c>
      <c r="C8" s="23">
        <f>D8/B8</f>
        <v>11.450249925925926</v>
      </c>
      <c r="D8" s="23">
        <v>-3.0915674800000001</v>
      </c>
      <c r="N8" s="26">
        <f>-B9</f>
        <v>0.2616</v>
      </c>
      <c r="O8" s="23">
        <f>P8/N8</f>
        <v>15.329814220183486</v>
      </c>
      <c r="P8" s="23">
        <f>-D9</f>
        <v>4.0102793999999999</v>
      </c>
      <c r="Q8" t="s">
        <v>12</v>
      </c>
      <c r="R8" s="1">
        <f>(B8)-B8</f>
        <v>0</v>
      </c>
      <c r="S8" s="23">
        <v>0</v>
      </c>
      <c r="T8" s="23">
        <f>(D8)-B8*6.9017</f>
        <v>-1.2281084799999999</v>
      </c>
      <c r="U8" s="24"/>
    </row>
    <row r="9" spans="2:21">
      <c r="B9" s="1">
        <v>-0.2616</v>
      </c>
      <c r="C9" s="23">
        <f>D9/B9</f>
        <v>15.329814220183486</v>
      </c>
      <c r="D9" s="23">
        <f>-4.0102794</f>
        <v>-4.0102793999999999</v>
      </c>
      <c r="N9" s="26">
        <f>4*($B$5+B6)/5-N8-N7-N6</f>
        <v>0.28377276799999995</v>
      </c>
      <c r="O9" s="23">
        <f>($C$5*[1]Params!K11)</f>
        <v>35.091738077914854</v>
      </c>
      <c r="P9" s="23">
        <f>(O9*N9)</f>
        <v>9.9580796483008971</v>
      </c>
      <c r="R9" s="1">
        <f>(B9)-B9</f>
        <v>0</v>
      </c>
      <c r="S9" s="23">
        <v>0</v>
      </c>
      <c r="T9" s="23">
        <f>(D9)-B9*6.9017</f>
        <v>-2.20479468</v>
      </c>
      <c r="U9" s="24"/>
    </row>
    <row r="10" spans="2:21">
      <c r="C10" s="23"/>
      <c r="D10" s="23"/>
      <c r="F10" t="s">
        <v>9</v>
      </c>
      <c r="G10" s="23">
        <f>(D11/B11)</f>
        <v>-0.58452067087819082</v>
      </c>
      <c r="O10" s="23"/>
      <c r="P10" s="23"/>
      <c r="R10" s="1"/>
      <c r="S10" s="23"/>
      <c r="T10" s="23"/>
      <c r="U10" s="24"/>
    </row>
    <row r="11" spans="2:21">
      <c r="B11">
        <f>(SUM(B5:B10))</f>
        <v>0.55011595999999985</v>
      </c>
      <c r="C11" s="23"/>
      <c r="D11" s="23">
        <f>(SUM(D5:D10))</f>
        <v>-0.32155414999999987</v>
      </c>
      <c r="O11" s="23"/>
      <c r="P11" s="23">
        <f>(SUM(P6:P9))</f>
        <v>19.609633798300898</v>
      </c>
      <c r="R11" s="1"/>
      <c r="S11" s="23"/>
      <c r="T11" s="24"/>
    </row>
    <row r="22" spans="18:20">
      <c r="R22">
        <f>(SUM(R5:R21))</f>
        <v>0.55011595999999985</v>
      </c>
      <c r="T22" s="23">
        <f>(SUM(T5:T21))</f>
        <v>-0.32155414999999987</v>
      </c>
    </row>
  </sheetData>
  <conditionalFormatting sqref="C5 G10 O9 S5">
    <cfRule type="cellIs" dxfId="129" priority="9" operator="lessThan">
      <formula>$J$3</formula>
    </cfRule>
    <cfRule type="cellIs" dxfId="128" priority="10" operator="greaterThan">
      <formula>$J$3</formula>
    </cfRule>
  </conditionalFormatting>
  <conditionalFormatting sqref="O3">
    <cfRule type="cellIs" dxfId="127" priority="3" operator="greaterThan">
      <formula>$J$3</formula>
    </cfRule>
    <cfRule type="cellIs" dxfId="126" priority="4" operator="less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35"/>
  <sheetViews>
    <sheetView workbookViewId="0">
      <selection activeCell="I19" sqref="I1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69.715871329442251</v>
      </c>
      <c r="N3" s="26"/>
      <c r="O3" s="24"/>
      <c r="P3" s="45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(B15*J3)</f>
        <v>11.440253876704073</v>
      </c>
      <c r="K4" s="4">
        <f>(J4/D15-1)</f>
        <v>0.15106086853027278</v>
      </c>
      <c r="O4" s="23"/>
      <c r="P4" s="23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23">
        <f>(D5/B5)</f>
        <v>65.731785393608504</v>
      </c>
      <c r="D5" s="23">
        <v>0.5</v>
      </c>
      <c r="N5" t="s">
        <v>32</v>
      </c>
      <c r="O5" t="s">
        <v>1</v>
      </c>
      <c r="P5" t="s">
        <v>2</v>
      </c>
      <c r="R5" s="1">
        <f>(B5)</f>
        <v>7.6066700000000003E-3</v>
      </c>
      <c r="S5" s="23">
        <f>(T5/R5)</f>
        <v>65.731785393608504</v>
      </c>
      <c r="T5" s="23">
        <f>(D5)</f>
        <v>0.5</v>
      </c>
    </row>
    <row r="6" spans="2:21">
      <c r="B6" s="2">
        <v>1.14068E-3</v>
      </c>
      <c r="C6" s="28">
        <v>0</v>
      </c>
      <c r="D6" s="29">
        <f>(B6*C6)</f>
        <v>0</v>
      </c>
      <c r="E6" s="23">
        <f>(B6*J3)</f>
        <v>7.952350010806819E-2</v>
      </c>
      <c r="M6" t="s">
        <v>11</v>
      </c>
      <c r="N6" s="49">
        <f>(SUM(R$5:R$8)/5)</f>
        <v>3.2819653999999997E-2</v>
      </c>
      <c r="O6" s="23">
        <f>($C$7*[1]Params!K8)</f>
        <v>89.451451451451447</v>
      </c>
      <c r="P6" s="23">
        <f>(O6*N6)</f>
        <v>2.9357656864344341</v>
      </c>
      <c r="R6" s="2">
        <f>(B6)</f>
        <v>1.14068E-3</v>
      </c>
      <c r="S6" s="28">
        <f>(T6/R6)</f>
        <v>0</v>
      </c>
      <c r="T6" s="29">
        <f>(D6)</f>
        <v>0</v>
      </c>
    </row>
    <row r="7" spans="2:21">
      <c r="B7" s="1">
        <v>0.14485500000000001</v>
      </c>
      <c r="C7" s="23">
        <f t="shared" ref="C7:C13" si="0">(D7/B7)</f>
        <v>68.808808808808806</v>
      </c>
      <c r="D7" s="23">
        <v>9.9672999999999998</v>
      </c>
      <c r="N7" s="49">
        <f>(SUM(R$5:R$8)/5)</f>
        <v>3.2819653999999997E-2</v>
      </c>
      <c r="O7" s="23">
        <f>($C$7*[1]Params!K9)</f>
        <v>110.09409409409409</v>
      </c>
      <c r="P7" s="23">
        <f>(O7*N7)</f>
        <v>3.613250075611611</v>
      </c>
      <c r="R7" s="1">
        <f>(B7)</f>
        <v>0.14485500000000001</v>
      </c>
      <c r="S7" s="23">
        <f>(T7/R7)</f>
        <v>68.808808808808806</v>
      </c>
      <c r="T7" s="23">
        <f>(D7)</f>
        <v>9.9672999999999998</v>
      </c>
    </row>
    <row r="8" spans="2:21">
      <c r="B8" s="1">
        <v>-3.0510700000000002E-2</v>
      </c>
      <c r="C8" s="23">
        <f t="shared" si="0"/>
        <v>91.202314270075746</v>
      </c>
      <c r="D8" s="23">
        <v>-2.7826464500000001</v>
      </c>
      <c r="N8" s="49">
        <f>(SUM(R$5:R$8)/5)</f>
        <v>3.2819653999999997E-2</v>
      </c>
      <c r="O8" s="23">
        <f>($C$7*[1]Params!K10)</f>
        <v>151.37937937937937</v>
      </c>
      <c r="P8" s="23">
        <f>(O8*N8)</f>
        <v>4.9682188539659649</v>
      </c>
      <c r="R8" s="1">
        <f>(B8+B9)+B11+B12+B10+B13</f>
        <v>1.0495920000000006E-2</v>
      </c>
      <c r="S8" s="23">
        <v>0</v>
      </c>
      <c r="T8" s="23">
        <f>(D8+D9)+D11+D12+D10+D13</f>
        <v>-0.52842171000000038</v>
      </c>
      <c r="U8" s="24">
        <f>R8*J3-T8</f>
        <v>1.2601539182041201</v>
      </c>
    </row>
    <row r="9" spans="2:21">
      <c r="B9" s="1">
        <v>3.3835320000000002E-2</v>
      </c>
      <c r="C9" s="23">
        <f t="shared" si="0"/>
        <v>77.433876789106762</v>
      </c>
      <c r="D9" s="23">
        <v>2.62</v>
      </c>
      <c r="N9" s="49">
        <f>(SUM(R$5:R$8)/5)</f>
        <v>3.2819653999999997E-2</v>
      </c>
      <c r="O9" s="23">
        <f>($C$7*[1]Params!K11)</f>
        <v>344.04404404404403</v>
      </c>
      <c r="P9" s="23">
        <f>(O9*N9)</f>
        <v>11.291406486286284</v>
      </c>
      <c r="R9" s="1"/>
      <c r="S9" s="23"/>
      <c r="T9" s="23"/>
      <c r="U9" s="24"/>
    </row>
    <row r="10" spans="2:21">
      <c r="B10" s="1">
        <v>-3.1253999999999997E-2</v>
      </c>
      <c r="C10" s="23">
        <f t="shared" si="0"/>
        <v>91.251872400332772</v>
      </c>
      <c r="D10" s="23">
        <v>-2.85198602</v>
      </c>
      <c r="O10" s="23"/>
      <c r="P10" s="23"/>
      <c r="R10" s="1"/>
      <c r="S10" s="23"/>
      <c r="T10" s="24"/>
    </row>
    <row r="11" spans="2:21">
      <c r="B11" s="1">
        <v>-3.1260999999999997E-2</v>
      </c>
      <c r="C11" s="23">
        <f t="shared" si="0"/>
        <v>110.89821950673365</v>
      </c>
      <c r="D11" s="23">
        <v>-3.4667892400000002</v>
      </c>
      <c r="O11" s="23"/>
      <c r="P11" s="23">
        <f>(SUM(P6:P9))</f>
        <v>22.808641102298296</v>
      </c>
    </row>
    <row r="12" spans="2:21">
      <c r="B12" s="1">
        <v>3.4712279999999998E-2</v>
      </c>
      <c r="C12" s="23">
        <f t="shared" si="0"/>
        <v>93.914891214290734</v>
      </c>
      <c r="D12" s="23">
        <v>3.26</v>
      </c>
      <c r="O12" s="23"/>
      <c r="P12" s="23"/>
    </row>
    <row r="13" spans="2:21">
      <c r="B13" s="1">
        <v>3.4974020000000001E-2</v>
      </c>
      <c r="C13" s="23">
        <f t="shared" si="0"/>
        <v>77.000013152620141</v>
      </c>
      <c r="D13" s="23">
        <v>2.6930000000000001</v>
      </c>
      <c r="O13" s="23"/>
      <c r="P13" s="23"/>
    </row>
    <row r="14" spans="2:21">
      <c r="F14" t="s">
        <v>9</v>
      </c>
      <c r="G14" s="23">
        <f>(D15/B15)</f>
        <v>60.566624437905411</v>
      </c>
    </row>
    <row r="15" spans="2:21">
      <c r="B15" s="1">
        <f>(SUM(B5:B14))</f>
        <v>0.16409826999999999</v>
      </c>
      <c r="D15" s="23">
        <f>(SUM(D5:D14))</f>
        <v>9.9388782899999999</v>
      </c>
    </row>
    <row r="21" spans="18:20">
      <c r="R21">
        <f>(SUM(R5:R20))</f>
        <v>0.16409826999999999</v>
      </c>
      <c r="T21" s="23">
        <f>(SUM(T5:T20))</f>
        <v>9.9388782899999999</v>
      </c>
    </row>
    <row r="35" spans="9:9">
      <c r="I35" s="24"/>
    </row>
  </sheetData>
  <conditionalFormatting sqref="C5 C7 O6:O9 S5 S7">
    <cfRule type="cellIs" dxfId="125" priority="21" operator="lessThan">
      <formula>$J$3</formula>
    </cfRule>
    <cfRule type="cellIs" dxfId="124" priority="22" operator="greaterThan">
      <formula>$J$3</formula>
    </cfRule>
  </conditionalFormatting>
  <conditionalFormatting sqref="C9">
    <cfRule type="cellIs" dxfId="123" priority="9" operator="lessThan">
      <formula>$J$3</formula>
    </cfRule>
    <cfRule type="cellIs" dxfId="122" priority="10" operator="greaterThan">
      <formula>$J$3</formula>
    </cfRule>
  </conditionalFormatting>
  <conditionalFormatting sqref="C12:C13">
    <cfRule type="cellIs" dxfId="121" priority="5" operator="lessThan">
      <formula>$J$3</formula>
    </cfRule>
    <cfRule type="cellIs" dxfId="120" priority="6" operator="greaterThan">
      <formula>$J$3</formula>
    </cfRule>
  </conditionalFormatting>
  <conditionalFormatting sqref="O6:O7">
    <cfRule type="cellIs" dxfId="119" priority="3" operator="lessThan">
      <formula>$J$3</formula>
    </cfRule>
    <cfRule type="cellIs" dxfId="118" priority="4" operator="greaterThan">
      <formula>$J$3</formula>
    </cfRule>
  </conditionalFormatting>
  <conditionalFormatting sqref="G14">
    <cfRule type="cellIs" dxfId="117" priority="1" operator="lessThan">
      <formula>$J$3</formula>
    </cfRule>
    <cfRule type="cellIs" dxfId="116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N12" sqref="N12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  <col min="13" max="13" width="9.140625" style="14" customWidth="1"/>
    <col min="14" max="14" width="11.28515625" style="14" bestFit="1" customWidth="1"/>
    <col min="15" max="15" width="11.5703125" style="14" bestFit="1" customWidth="1"/>
    <col min="16" max="16" width="9.140625" style="14" customWidth="1"/>
  </cols>
  <sheetData>
    <row r="3" spans="2:16">
      <c r="I3" t="s">
        <v>3</v>
      </c>
      <c r="J3" s="23">
        <v>0.94255470088278814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(B22*J3)</f>
        <v>3.9235902864997243</v>
      </c>
    </row>
    <row r="5" spans="2:16">
      <c r="B5">
        <v>3.2527046099999999</v>
      </c>
      <c r="C5" s="23">
        <v>0</v>
      </c>
      <c r="D5" s="23">
        <f>(B5*C5)</f>
        <v>0</v>
      </c>
      <c r="N5" t="s">
        <v>1</v>
      </c>
      <c r="O5" t="s">
        <v>32</v>
      </c>
      <c r="P5" t="s">
        <v>2</v>
      </c>
    </row>
    <row r="6" spans="2:16">
      <c r="B6" s="50">
        <v>5.5936800000000002E-2</v>
      </c>
      <c r="C6" s="28">
        <v>0</v>
      </c>
      <c r="D6" s="29">
        <f>(B6*C6)</f>
        <v>0</v>
      </c>
      <c r="E6" s="23">
        <f>(B6*J3)</f>
        <v>5.2723493792340342E-2</v>
      </c>
      <c r="M6" t="s">
        <v>4</v>
      </c>
      <c r="N6" s="33">
        <f>(C7*2)</f>
        <v>3.3123238079251891</v>
      </c>
      <c r="O6" s="49">
        <f>-B7</f>
        <v>3.2590001599999998</v>
      </c>
      <c r="P6" s="23">
        <f>(O6*N6)</f>
        <v>10.79486382</v>
      </c>
    </row>
    <row r="7" spans="2:16">
      <c r="B7" s="49">
        <f>-3.25700016-0.002</f>
        <v>-3.2590001599999998</v>
      </c>
      <c r="C7" s="23">
        <f>(D7/B7)</f>
        <v>1.6561619039625946</v>
      </c>
      <c r="D7" s="23">
        <v>-5.3974319099999999</v>
      </c>
    </row>
    <row r="8" spans="2:16">
      <c r="B8">
        <v>0.31639059000000003</v>
      </c>
      <c r="C8" s="23">
        <v>0</v>
      </c>
      <c r="D8" s="23">
        <f t="shared" ref="D8:D20" si="0">(B8*C8)</f>
        <v>0</v>
      </c>
    </row>
    <row r="9" spans="2:16">
      <c r="B9">
        <v>0.31639059000000003</v>
      </c>
      <c r="C9" s="23">
        <v>0</v>
      </c>
      <c r="D9" s="23">
        <f t="shared" si="0"/>
        <v>0</v>
      </c>
      <c r="N9" s="33"/>
      <c r="O9" s="21"/>
      <c r="P9" s="23"/>
    </row>
    <row r="10" spans="2:16">
      <c r="B10">
        <v>0.31639059000000003</v>
      </c>
      <c r="C10" s="23">
        <v>0</v>
      </c>
      <c r="D10" s="23">
        <f t="shared" si="0"/>
        <v>0</v>
      </c>
      <c r="N10" s="33"/>
    </row>
    <row r="11" spans="2:16">
      <c r="B11">
        <v>0.31639059000000003</v>
      </c>
      <c r="C11" s="23">
        <v>0</v>
      </c>
      <c r="D11" s="23">
        <f t="shared" si="0"/>
        <v>0</v>
      </c>
      <c r="N11" t="s">
        <v>1</v>
      </c>
      <c r="O11" t="s">
        <v>0</v>
      </c>
      <c r="P11" t="s">
        <v>2</v>
      </c>
    </row>
    <row r="12" spans="2:16">
      <c r="B12">
        <v>0.31639059000000003</v>
      </c>
      <c r="C12" s="23">
        <v>0</v>
      </c>
      <c r="D12" s="23">
        <f t="shared" si="0"/>
        <v>0</v>
      </c>
      <c r="M12" t="s">
        <v>4</v>
      </c>
      <c r="N12" s="33">
        <f>C7/2.1</f>
        <v>0.78864852569647359</v>
      </c>
      <c r="O12" s="36">
        <f>-B7</f>
        <v>3.2590001599999998</v>
      </c>
      <c r="P12" s="23">
        <f>(O12*N12)</f>
        <v>2.5702056714285715</v>
      </c>
    </row>
    <row r="13" spans="2:16">
      <c r="B13">
        <v>0.31639059000000003</v>
      </c>
      <c r="C13" s="23">
        <v>0</v>
      </c>
      <c r="D13" s="23">
        <f t="shared" si="0"/>
        <v>0</v>
      </c>
    </row>
    <row r="14" spans="2:16">
      <c r="B14">
        <v>0.31639059000000003</v>
      </c>
      <c r="C14" s="23">
        <v>0</v>
      </c>
      <c r="D14" s="23">
        <f t="shared" si="0"/>
        <v>0</v>
      </c>
    </row>
    <row r="15" spans="2:16">
      <c r="B15">
        <v>0.31639059000000003</v>
      </c>
      <c r="C15" s="23">
        <v>0</v>
      </c>
      <c r="D15" s="23">
        <f t="shared" si="0"/>
        <v>0</v>
      </c>
    </row>
    <row r="16" spans="2:16">
      <c r="B16">
        <v>0.31639059000000003</v>
      </c>
      <c r="C16" s="23">
        <v>0</v>
      </c>
      <c r="D16" s="23">
        <f t="shared" si="0"/>
        <v>0</v>
      </c>
    </row>
    <row r="17" spans="2:4">
      <c r="B17">
        <v>0.31639059000000003</v>
      </c>
      <c r="C17" s="23">
        <v>0</v>
      </c>
      <c r="D17" s="23">
        <f t="shared" si="0"/>
        <v>0</v>
      </c>
    </row>
    <row r="18" spans="2:4">
      <c r="B18">
        <v>0.31639059000000003</v>
      </c>
      <c r="C18" s="23">
        <v>0</v>
      </c>
      <c r="D18" s="23">
        <f t="shared" si="0"/>
        <v>0</v>
      </c>
    </row>
    <row r="19" spans="2:4">
      <c r="B19">
        <v>0.31639059000000003</v>
      </c>
      <c r="C19" s="23">
        <v>0</v>
      </c>
      <c r="D19" s="23">
        <f t="shared" si="0"/>
        <v>0</v>
      </c>
    </row>
    <row r="20" spans="2:4">
      <c r="B20">
        <v>0.31639059000000003</v>
      </c>
      <c r="C20" s="23">
        <v>0</v>
      </c>
      <c r="D20" s="23">
        <f t="shared" si="0"/>
        <v>0</v>
      </c>
    </row>
    <row r="22" spans="2:4">
      <c r="B22">
        <f>(SUM(B5:B21))</f>
        <v>4.1627189200000014</v>
      </c>
      <c r="D22" s="23">
        <f>(SUM(D5:D21))</f>
        <v>-5.3974319099999999</v>
      </c>
    </row>
  </sheetData>
  <conditionalFormatting sqref="N6">
    <cfRule type="cellIs" dxfId="115" priority="5" operator="lessThan">
      <formula>$J$3</formula>
    </cfRule>
    <cfRule type="cellIs" dxfId="114" priority="6" operator="greaterThan">
      <formula>$J$3</formula>
    </cfRule>
  </conditionalFormatting>
  <conditionalFormatting sqref="N12">
    <cfRule type="cellIs" dxfId="113" priority="1" operator="greaterThan">
      <formula>$J$3</formula>
    </cfRule>
    <cfRule type="cellIs" dxfId="112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>
  <dimension ref="B3:T39"/>
  <sheetViews>
    <sheetView workbookViewId="0">
      <selection activeCell="N13" sqref="N13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33">
        <v>1.5581945912217731E-4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(B39*J3)</f>
        <v>19.946894234033959</v>
      </c>
      <c r="R4" t="s">
        <v>5</v>
      </c>
      <c r="S4" t="s">
        <v>6</v>
      </c>
      <c r="T4" t="s">
        <v>7</v>
      </c>
    </row>
    <row r="5" spans="2:20">
      <c r="B5" s="35">
        <v>0.2363634506</v>
      </c>
      <c r="C5" s="33">
        <v>115.55</v>
      </c>
      <c r="D5" s="23">
        <f>(B5*C5)</f>
        <v>27.311796716829999</v>
      </c>
      <c r="N5" t="s">
        <v>1</v>
      </c>
      <c r="O5" t="s">
        <v>32</v>
      </c>
      <c r="P5" t="s">
        <v>2</v>
      </c>
      <c r="R5" s="35">
        <f t="shared" ref="R5:R12" si="0">(B5)</f>
        <v>0.2363634506</v>
      </c>
      <c r="S5" s="33">
        <v>115.55</v>
      </c>
      <c r="T5" s="23">
        <f>(R5*S5)</f>
        <v>27.311796716829999</v>
      </c>
    </row>
    <row r="6" spans="2:20">
      <c r="B6" s="35">
        <v>0.3</v>
      </c>
      <c r="C6" s="33">
        <v>91.3</v>
      </c>
      <c r="D6" s="23">
        <f>(B6*C6)</f>
        <v>27.389999999999997</v>
      </c>
      <c r="M6" t="s">
        <v>4</v>
      </c>
      <c r="N6" s="33">
        <f>(MIN(C5:C8,C14:C16)*2)</f>
        <v>5.0000000000000001E-4</v>
      </c>
      <c r="O6">
        <f>(INDEX(B5:B17,MATCH(N6/2,C5:C17,0)))</f>
        <v>40000</v>
      </c>
      <c r="P6" s="23">
        <f>(O6*N6)</f>
        <v>20</v>
      </c>
      <c r="R6" s="35">
        <f t="shared" si="0"/>
        <v>0.3</v>
      </c>
      <c r="S6" s="33">
        <v>91.3</v>
      </c>
      <c r="T6" s="23">
        <f>(R6*S6)</f>
        <v>27.389999999999997</v>
      </c>
    </row>
    <row r="7" spans="2:20">
      <c r="B7" s="35">
        <v>2.7904138700000001</v>
      </c>
      <c r="C7" s="33">
        <v>6.5</v>
      </c>
      <c r="D7" s="23">
        <f>(B7*C7)</f>
        <v>18.137690155000001</v>
      </c>
      <c r="R7" s="35">
        <f t="shared" si="0"/>
        <v>2.7904138700000001</v>
      </c>
      <c r="S7" s="33">
        <v>6.5</v>
      </c>
      <c r="T7" s="23">
        <f>(R7*S7)</f>
        <v>18.137690155000001</v>
      </c>
    </row>
    <row r="8" spans="2:20">
      <c r="B8" s="35">
        <v>722</v>
      </c>
      <c r="C8" s="33">
        <f t="shared" ref="C8:C16" si="1">(D8/B8)</f>
        <v>2.077562326869806E-2</v>
      </c>
      <c r="D8" s="23">
        <v>15</v>
      </c>
      <c r="N8" t="s">
        <v>1</v>
      </c>
      <c r="O8" t="s">
        <v>32</v>
      </c>
      <c r="P8" t="s">
        <v>2</v>
      </c>
      <c r="R8" s="35">
        <f t="shared" si="0"/>
        <v>722</v>
      </c>
      <c r="S8" s="33">
        <f t="shared" ref="S8:S13" si="2">(T8/R8)</f>
        <v>2.077562326869806E-2</v>
      </c>
      <c r="T8" s="23">
        <v>15</v>
      </c>
    </row>
    <row r="9" spans="2:20">
      <c r="B9" s="35">
        <f>(891400)</f>
        <v>891400</v>
      </c>
      <c r="C9" s="33">
        <f t="shared" si="1"/>
        <v>1.1218308279111509E-5</v>
      </c>
      <c r="D9" s="23">
        <v>10</v>
      </c>
      <c r="M9" t="s">
        <v>4</v>
      </c>
      <c r="N9" s="33">
        <v>5.0000000000000001E-4</v>
      </c>
      <c r="O9" s="21">
        <f>B39/4</f>
        <v>32003.214403397607</v>
      </c>
      <c r="P9" s="23">
        <f>(O9*N9)</f>
        <v>16.001607201698803</v>
      </c>
      <c r="R9" s="35">
        <f t="shared" si="0"/>
        <v>891400</v>
      </c>
      <c r="S9" s="33">
        <f t="shared" si="2"/>
        <v>1.1218308279111509E-5</v>
      </c>
      <c r="T9" s="23">
        <v>10</v>
      </c>
    </row>
    <row r="10" spans="2:20">
      <c r="B10" s="35">
        <v>-200000</v>
      </c>
      <c r="C10" s="33">
        <f t="shared" si="1"/>
        <v>6.0000000000000002E-5</v>
      </c>
      <c r="D10" s="23">
        <v>-12</v>
      </c>
      <c r="N10" s="33"/>
      <c r="R10" s="35">
        <f t="shared" si="0"/>
        <v>-200000</v>
      </c>
      <c r="S10" s="33">
        <f t="shared" si="2"/>
        <v>6.0000000000000002E-5</v>
      </c>
      <c r="T10" s="23">
        <v>-12</v>
      </c>
    </row>
    <row r="11" spans="2:20">
      <c r="B11" s="35">
        <v>-43873</v>
      </c>
      <c r="C11" s="33">
        <f t="shared" si="1"/>
        <v>2.2793061791990518E-4</v>
      </c>
      <c r="D11" s="23">
        <v>-10</v>
      </c>
      <c r="N11" t="s">
        <v>1</v>
      </c>
      <c r="O11" t="s">
        <v>0</v>
      </c>
      <c r="P11" t="s">
        <v>2</v>
      </c>
      <c r="R11" s="35">
        <f t="shared" si="0"/>
        <v>-43873</v>
      </c>
      <c r="S11" s="33">
        <f t="shared" si="2"/>
        <v>2.2793061791990518E-4</v>
      </c>
      <c r="T11" s="23">
        <v>-10</v>
      </c>
    </row>
    <row r="12" spans="2:20">
      <c r="B12" s="35">
        <v>-20000</v>
      </c>
      <c r="C12" s="33">
        <f t="shared" si="1"/>
        <v>5.0000000000000001E-4</v>
      </c>
      <c r="D12" s="23">
        <v>-10</v>
      </c>
      <c r="M12" t="s">
        <v>4</v>
      </c>
      <c r="N12" s="33">
        <f>C37/2.5</f>
        <v>1.0267246810666668E-4</v>
      </c>
      <c r="O12" s="36">
        <f>-B37-B36</f>
        <v>212000</v>
      </c>
      <c r="P12" s="23">
        <f>(O12*N12)</f>
        <v>21.766563238613337</v>
      </c>
      <c r="R12" s="35">
        <f t="shared" si="0"/>
        <v>-20000</v>
      </c>
      <c r="S12" s="33">
        <f t="shared" si="2"/>
        <v>5.0000000000000001E-4</v>
      </c>
      <c r="T12" s="23">
        <v>-10</v>
      </c>
    </row>
    <row r="13" spans="2:20">
      <c r="B13" s="35">
        <v>-66800</v>
      </c>
      <c r="C13" s="33">
        <f t="shared" si="1"/>
        <v>5.0000000000000001E-4</v>
      </c>
      <c r="D13" s="23">
        <v>-33.4</v>
      </c>
      <c r="R13" s="35">
        <f>(B13+B14+B15+B16)</f>
        <v>43423</v>
      </c>
      <c r="S13" s="33">
        <f t="shared" si="2"/>
        <v>1.0594270317573637E-4</v>
      </c>
      <c r="T13" s="23">
        <f>(D13+D15+D14+D16)</f>
        <v>4.6003500000000006</v>
      </c>
    </row>
    <row r="14" spans="2:20">
      <c r="B14" s="35">
        <v>22223</v>
      </c>
      <c r="C14" s="33">
        <f t="shared" si="1"/>
        <v>4.4999999999999999E-4</v>
      </c>
      <c r="D14" s="23">
        <v>10.000349999999999</v>
      </c>
      <c r="R14" s="35">
        <f t="shared" ref="R14:R20" si="3">(B17)</f>
        <v>-150000</v>
      </c>
      <c r="S14" s="33">
        <v>1E-4</v>
      </c>
      <c r="T14" s="23">
        <f>(S14*R14)</f>
        <v>-15</v>
      </c>
    </row>
    <row r="15" spans="2:20">
      <c r="B15" s="35">
        <v>48000</v>
      </c>
      <c r="C15" s="33">
        <f t="shared" si="1"/>
        <v>3.7500000000000001E-4</v>
      </c>
      <c r="D15" s="23">
        <v>18</v>
      </c>
      <c r="R15" s="35">
        <f t="shared" si="3"/>
        <v>4858.11487966</v>
      </c>
      <c r="S15" s="33">
        <v>0</v>
      </c>
      <c r="T15" s="23">
        <f>(R15*S15)</f>
        <v>0</v>
      </c>
    </row>
    <row r="16" spans="2:20">
      <c r="B16" s="35">
        <v>40000</v>
      </c>
      <c r="C16" s="33">
        <f t="shared" si="1"/>
        <v>2.5000000000000001E-4</v>
      </c>
      <c r="D16" s="23">
        <v>10</v>
      </c>
      <c r="R16" s="35">
        <f t="shared" si="3"/>
        <v>-60293.19</v>
      </c>
      <c r="S16" s="33">
        <v>1.829E-4</v>
      </c>
      <c r="T16" s="23">
        <f>(S16*R16)</f>
        <v>-11.027624451000001</v>
      </c>
    </row>
    <row r="17" spans="2:20">
      <c r="B17" s="35">
        <v>-150000</v>
      </c>
      <c r="C17" s="33">
        <v>1E-4</v>
      </c>
      <c r="D17" s="23">
        <f>(C17*B17)</f>
        <v>-15</v>
      </c>
      <c r="R17" s="35">
        <f t="shared" si="3"/>
        <v>-41141.35</v>
      </c>
      <c r="S17" s="33">
        <v>1.828E-4</v>
      </c>
      <c r="T17" s="23">
        <f>(S17*R17)</f>
        <v>-7.5206387799999996</v>
      </c>
    </row>
    <row r="18" spans="2:20">
      <c r="B18" s="47">
        <v>4858.11487966</v>
      </c>
      <c r="C18" s="28">
        <v>0</v>
      </c>
      <c r="D18" s="29">
        <f>(B18*C18)</f>
        <v>0</v>
      </c>
      <c r="E18" s="23">
        <f>(B18*J3)</f>
        <v>0.75698883290202268</v>
      </c>
      <c r="R18" s="35">
        <f t="shared" si="3"/>
        <v>-26969.34</v>
      </c>
      <c r="S18" s="33">
        <f>(T18/R18)</f>
        <v>4.0323567428791359E-4</v>
      </c>
      <c r="T18" s="23">
        <v>-10.875</v>
      </c>
    </row>
    <row r="19" spans="2:20">
      <c r="B19" s="35">
        <v>-60293.19</v>
      </c>
      <c r="C19" s="33">
        <v>1.829E-4</v>
      </c>
      <c r="D19" s="23">
        <f>(C19*B19)</f>
        <v>-11.027624451000001</v>
      </c>
      <c r="R19" s="35">
        <f t="shared" si="3"/>
        <v>-39131.89</v>
      </c>
      <c r="S19" s="33">
        <f>(T19/R19)</f>
        <v>4.0317500636948532E-4</v>
      </c>
      <c r="T19" s="23">
        <v>-15.776999999999999</v>
      </c>
    </row>
    <row r="20" spans="2:20">
      <c r="B20" s="35">
        <v>-41141.35</v>
      </c>
      <c r="C20" s="33">
        <v>1.828E-4</v>
      </c>
      <c r="D20" s="23">
        <f>(C20*B20)</f>
        <v>-7.5206387799999996</v>
      </c>
      <c r="R20" s="35">
        <f t="shared" si="3"/>
        <v>-31019.52</v>
      </c>
      <c r="S20" s="33">
        <f>(T20/R20)</f>
        <v>4.0941961706693071E-4</v>
      </c>
      <c r="T20" s="23">
        <v>-12.7</v>
      </c>
    </row>
    <row r="21" spans="2:20">
      <c r="B21" s="35">
        <v>-26969.34</v>
      </c>
      <c r="C21" s="33">
        <f>(D21/B21)</f>
        <v>4.0323567428791359E-4</v>
      </c>
      <c r="D21" s="23">
        <v>-10.875</v>
      </c>
      <c r="R21" s="35">
        <f>(B24+B25+B26)</f>
        <v>-55.650000000002365</v>
      </c>
      <c r="S21" s="33">
        <f>(T21/R21)</f>
        <v>1.4062807235038053E-2</v>
      </c>
      <c r="T21" s="23">
        <f>(D24+D25+D26)</f>
        <v>-0.78259522262990089</v>
      </c>
    </row>
    <row r="22" spans="2:20">
      <c r="B22" s="35">
        <v>-39131.89</v>
      </c>
      <c r="C22" s="33">
        <f>(D22/B22)</f>
        <v>4.0317500636948532E-4</v>
      </c>
      <c r="D22" s="23">
        <v>-15.776999999999999</v>
      </c>
      <c r="R22" s="35">
        <f>(B27+B28)</f>
        <v>0</v>
      </c>
      <c r="S22" s="33">
        <v>0</v>
      </c>
      <c r="T22" s="23">
        <f>(D27+D28)</f>
        <v>-2.4399999999999995</v>
      </c>
    </row>
    <row r="23" spans="2:20">
      <c r="B23" s="35">
        <v>-31019.52</v>
      </c>
      <c r="C23" s="33">
        <f>(D23/B23)</f>
        <v>4.0941961706693071E-4</v>
      </c>
      <c r="D23" s="23">
        <v>-12.7</v>
      </c>
      <c r="R23" s="35">
        <f>(B29+B30)</f>
        <v>4000</v>
      </c>
      <c r="S23" s="33">
        <v>0</v>
      </c>
      <c r="T23" s="23">
        <f>(D29+D30)</f>
        <v>-1.9700000000000006</v>
      </c>
    </row>
    <row r="24" spans="2:20">
      <c r="B24" s="35">
        <v>-20035.650000000001</v>
      </c>
      <c r="C24" s="33">
        <f>(D24/B24)</f>
        <v>5.5501069343894503E-4</v>
      </c>
      <c r="D24" s="23">
        <v>-11.12</v>
      </c>
      <c r="R24" s="35">
        <f>(B31+B32)</f>
        <v>-1.8097233900334686</v>
      </c>
      <c r="S24" s="33">
        <v>0</v>
      </c>
      <c r="T24" s="23">
        <f>(D31+D32)</f>
        <v>-13.982335980000002</v>
      </c>
    </row>
    <row r="25" spans="2:20">
      <c r="B25" s="35">
        <f>(15252.99-15.25299)</f>
        <v>15237.737009999999</v>
      </c>
      <c r="C25" s="33">
        <v>5.1738999999999995E-4</v>
      </c>
      <c r="D25" s="23">
        <f>(B25*C25)</f>
        <v>7.8838527516038983</v>
      </c>
      <c r="R25" s="35">
        <f>(B33+B34+B35)</f>
        <v>8092.1656799999982</v>
      </c>
      <c r="S25" s="33">
        <v>0</v>
      </c>
      <c r="T25" s="23">
        <f>(D33+D34+D35)</f>
        <v>-0.14500000000000135</v>
      </c>
    </row>
    <row r="26" spans="2:20">
      <c r="B26" s="35">
        <f>(4747.01-4.74701)</f>
        <v>4742.2629900000002</v>
      </c>
      <c r="C26" s="33">
        <v>5.1738000000000001E-4</v>
      </c>
      <c r="D26" s="23">
        <f>(B26*C26)</f>
        <v>2.4535520257662</v>
      </c>
      <c r="R26" s="35">
        <f>B36</f>
        <v>-62000</v>
      </c>
      <c r="S26" s="33">
        <f>T26/R26</f>
        <v>2.5846530951612908E-4</v>
      </c>
      <c r="T26" s="24">
        <f>D36</f>
        <v>-16.024849190000001</v>
      </c>
    </row>
    <row r="27" spans="2:20">
      <c r="B27" s="35">
        <v>-40000</v>
      </c>
      <c r="C27" s="33">
        <f t="shared" ref="C27:C37" si="4">(D27/B27)</f>
        <v>3.1099999999999997E-4</v>
      </c>
      <c r="D27" s="23">
        <v>-12.44</v>
      </c>
      <c r="R27" s="35">
        <f>B37</f>
        <v>-150000</v>
      </c>
      <c r="S27" s="33">
        <f>T27/R27</f>
        <v>2.5668117026666668E-4</v>
      </c>
      <c r="T27" s="24">
        <f>D37</f>
        <v>-38.502175540000003</v>
      </c>
    </row>
    <row r="28" spans="2:20">
      <c r="B28" s="35">
        <v>40000</v>
      </c>
      <c r="C28" s="33">
        <f t="shared" si="4"/>
        <v>2.5000000000000001E-4</v>
      </c>
      <c r="D28" s="23">
        <v>10</v>
      </c>
    </row>
    <row r="29" spans="2:20">
      <c r="B29" s="35">
        <v>-40000</v>
      </c>
      <c r="C29" s="33">
        <f t="shared" si="4"/>
        <v>3.0975000000000002E-4</v>
      </c>
      <c r="D29" s="23">
        <v>-12.39</v>
      </c>
    </row>
    <row r="30" spans="2:20">
      <c r="B30" s="35">
        <v>44000</v>
      </c>
      <c r="C30" s="33">
        <f t="shared" si="4"/>
        <v>2.3681818181818182E-4</v>
      </c>
      <c r="D30" s="23">
        <v>10.42</v>
      </c>
    </row>
    <row r="31" spans="2:20">
      <c r="B31" s="35">
        <v>-270017.67672339</v>
      </c>
      <c r="C31" s="33">
        <f t="shared" si="4"/>
        <v>1.7847844839198777E-4</v>
      </c>
      <c r="D31" s="23">
        <v>-48.192335980000003</v>
      </c>
    </row>
    <row r="32" spans="2:20">
      <c r="B32" s="35">
        <f>(272743.3*0.99)</f>
        <v>270015.86699999997</v>
      </c>
      <c r="C32" s="33">
        <f t="shared" si="4"/>
        <v>1.2669625818693094E-4</v>
      </c>
      <c r="D32" s="23">
        <v>34.21</v>
      </c>
      <c r="E32" s="24"/>
    </row>
    <row r="33" spans="2:20">
      <c r="B33" s="35">
        <v>-33998.230000000003</v>
      </c>
      <c r="C33" s="33">
        <f t="shared" si="4"/>
        <v>1.8971575873214574E-4</v>
      </c>
      <c r="D33" s="23">
        <v>-6.45</v>
      </c>
    </row>
    <row r="34" spans="2:20">
      <c r="B34" s="35">
        <v>-20001.77</v>
      </c>
      <c r="C34" s="33">
        <f t="shared" si="4"/>
        <v>1.897332086110379E-4</v>
      </c>
      <c r="D34" s="23">
        <v>-3.7949999999999999</v>
      </c>
    </row>
    <row r="35" spans="2:20">
      <c r="B35" s="35">
        <f>(62154.32-62.15432)</f>
        <v>62092.165679999998</v>
      </c>
      <c r="C35" s="33">
        <f t="shared" si="4"/>
        <v>1.6266142257062921E-4</v>
      </c>
      <c r="D35" s="23">
        <v>10.1</v>
      </c>
      <c r="E35" s="23"/>
    </row>
    <row r="36" spans="2:20">
      <c r="B36" s="35">
        <v>-62000</v>
      </c>
      <c r="C36" s="33">
        <f t="shared" si="4"/>
        <v>2.5846530951612908E-4</v>
      </c>
      <c r="D36" s="23">
        <v>-16.024849190000001</v>
      </c>
      <c r="E36" s="23">
        <f>B36*J3</f>
        <v>-9.6608064655749928</v>
      </c>
    </row>
    <row r="37" spans="2:20">
      <c r="B37" s="35">
        <v>-150000</v>
      </c>
      <c r="C37" s="33">
        <f t="shared" si="4"/>
        <v>2.5668117026666668E-4</v>
      </c>
      <c r="D37" s="23">
        <v>-38.502175540000003</v>
      </c>
      <c r="E37" s="23">
        <f>B37*J3</f>
        <v>-23.372918868326597</v>
      </c>
    </row>
    <row r="39" spans="2:20">
      <c r="B39">
        <f>(SUM(B5:B38))</f>
        <v>128012.85761359043</v>
      </c>
      <c r="D39" s="23">
        <f>(SUM(D5:D38))</f>
        <v>-76.307382291799911</v>
      </c>
      <c r="F39" t="s">
        <v>9</v>
      </c>
      <c r="G39" s="33">
        <f>(D39/B39)</f>
        <v>-5.9609154669553106E-4</v>
      </c>
      <c r="R39">
        <f>(SUM(R5:R38))</f>
        <v>128012.85761359043</v>
      </c>
      <c r="T39" s="23">
        <f>(SUM(T5:T38))</f>
        <v>-76.307382291799911</v>
      </c>
    </row>
  </sheetData>
  <conditionalFormatting sqref="C5:C9 C14:C16 C25:C26 C28 C30 C32 C35">
    <cfRule type="cellIs" dxfId="111" priority="15" operator="lessThan">
      <formula>$J$3</formula>
    </cfRule>
    <cfRule type="cellIs" dxfId="110" priority="16" operator="greaterThan">
      <formula>$J$3</formula>
    </cfRule>
  </conditionalFormatting>
  <conditionalFormatting sqref="N6">
    <cfRule type="cellIs" dxfId="109" priority="11" operator="lessThan">
      <formula>$J$3</formula>
    </cfRule>
    <cfRule type="cellIs" dxfId="108" priority="12" operator="greaterThan">
      <formula>$J$3</formula>
    </cfRule>
  </conditionalFormatting>
  <conditionalFormatting sqref="N9">
    <cfRule type="cellIs" dxfId="107" priority="7" operator="lessThan">
      <formula>$J$3</formula>
    </cfRule>
    <cfRule type="cellIs" dxfId="106" priority="8" operator="greaterThan">
      <formula>$J$3</formula>
    </cfRule>
  </conditionalFormatting>
  <conditionalFormatting sqref="S5:S9 S13">
    <cfRule type="cellIs" dxfId="105" priority="5" operator="lessThan">
      <formula>$J$3</formula>
    </cfRule>
    <cfRule type="cellIs" dxfId="104" priority="6" operator="greaterThan">
      <formula>$J$3</formula>
    </cfRule>
  </conditionalFormatting>
  <conditionalFormatting sqref="G39">
    <cfRule type="cellIs" dxfId="103" priority="3" operator="lessThan">
      <formula>$J$3</formula>
    </cfRule>
    <cfRule type="cellIs" dxfId="102" priority="4" operator="greaterThan">
      <formula>$J$3</formula>
    </cfRule>
  </conditionalFormatting>
  <conditionalFormatting sqref="N12">
    <cfRule type="cellIs" dxfId="101" priority="1" operator="greaterThan">
      <formula>$J$3</formula>
    </cfRule>
    <cfRule type="cellIs" dxfId="100" priority="2" operator="less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J3" sqref="J3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0.77416339087366182</v>
      </c>
      <c r="N3" s="19"/>
      <c r="O3" s="24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(B18*J3)</f>
        <v>44.66208001184647</v>
      </c>
      <c r="K4" s="4">
        <f>(J4/D18-1)</f>
        <v>-0.10972009080854561</v>
      </c>
      <c r="O4" s="23"/>
      <c r="P4" s="23"/>
      <c r="R4" t="s">
        <v>5</v>
      </c>
      <c r="S4" t="s">
        <v>6</v>
      </c>
      <c r="T4" t="s">
        <v>7</v>
      </c>
    </row>
    <row r="5" spans="2:21">
      <c r="B5" s="19">
        <v>12.2</v>
      </c>
      <c r="C5" s="23">
        <f>(D5/B5)</f>
        <v>0.8606557377049181</v>
      </c>
      <c r="D5" s="23">
        <v>10.5</v>
      </c>
      <c r="M5" t="s">
        <v>15</v>
      </c>
      <c r="N5" t="s">
        <v>32</v>
      </c>
      <c r="O5" t="s">
        <v>1</v>
      </c>
      <c r="P5" t="s">
        <v>2</v>
      </c>
      <c r="R5" s="19">
        <f>B5</f>
        <v>12.2</v>
      </c>
      <c r="S5" s="23">
        <f>(T5/R5)</f>
        <v>0.8606557377049181</v>
      </c>
      <c r="T5" s="23">
        <f>D5</f>
        <v>10.5</v>
      </c>
    </row>
    <row r="6" spans="2:21">
      <c r="B6" s="20">
        <v>0.31868721999999999</v>
      </c>
      <c r="C6" s="28">
        <v>0</v>
      </c>
      <c r="D6" s="29">
        <f>(B6*C6)</f>
        <v>0</v>
      </c>
      <c r="E6" s="23">
        <f>(B6*J3)</f>
        <v>0.24671597886330066</v>
      </c>
      <c r="M6" t="s">
        <v>11</v>
      </c>
      <c r="N6" s="19">
        <f>($B$7+$R$9)/5</f>
        <v>8.7997202257777776</v>
      </c>
      <c r="O6" s="23">
        <f>($S$7*[1]Params!K8)</f>
        <v>1.1960515459367107</v>
      </c>
      <c r="P6" s="23">
        <f>(O6*N6)</f>
        <v>10.524918979852051</v>
      </c>
      <c r="R6" s="47">
        <f>(B6)</f>
        <v>0.31868721999999999</v>
      </c>
      <c r="S6" s="28">
        <v>0</v>
      </c>
      <c r="T6" s="29">
        <f>(D6)</f>
        <v>0</v>
      </c>
      <c r="U6" s="23">
        <f>(R6*J3)</f>
        <v>0.24671597886330066</v>
      </c>
    </row>
    <row r="7" spans="2:21">
      <c r="B7" s="19">
        <v>43.367696129999999</v>
      </c>
      <c r="C7" s="23">
        <f t="shared" ref="C7:C14" si="0">(D7/B7)</f>
        <v>0.92003965072054661</v>
      </c>
      <c r="D7" s="23">
        <v>39.9</v>
      </c>
      <c r="E7" t="s">
        <v>15</v>
      </c>
      <c r="N7" s="19">
        <f>($B$7+$R$9)/5</f>
        <v>8.7997202257777776</v>
      </c>
      <c r="O7" s="23">
        <f>($S$7*[1]Params!K9)</f>
        <v>1.4720634411528746</v>
      </c>
      <c r="P7" s="23">
        <f>(O7*N7)</f>
        <v>12.953746436740985</v>
      </c>
      <c r="R7" s="19">
        <f>B7</f>
        <v>43.367696129999999</v>
      </c>
      <c r="S7" s="23">
        <f>(T7/R7)</f>
        <v>0.92003965072054661</v>
      </c>
      <c r="T7" s="23">
        <f>D7</f>
        <v>39.9</v>
      </c>
      <c r="U7" t="s">
        <v>15</v>
      </c>
    </row>
    <row r="8" spans="2:21">
      <c r="B8" s="19">
        <v>0.63003905000000004</v>
      </c>
      <c r="C8" s="23">
        <f t="shared" si="0"/>
        <v>0.79360160294826165</v>
      </c>
      <c r="D8" s="23">
        <v>0.5</v>
      </c>
      <c r="N8" s="19">
        <f>($B$7+$R$9)/5</f>
        <v>8.7997202257777776</v>
      </c>
      <c r="O8" s="23">
        <f>($S$7*[1]Params!K10)</f>
        <v>2.0240872315852028</v>
      </c>
      <c r="P8" s="23">
        <f>(O8*N8)</f>
        <v>17.811401350518857</v>
      </c>
      <c r="R8" s="19">
        <f>B8</f>
        <v>0.63003905000000004</v>
      </c>
      <c r="S8" s="23">
        <f>C8</f>
        <v>0.79360160294826165</v>
      </c>
      <c r="T8" s="24">
        <f>D8</f>
        <v>0.5</v>
      </c>
    </row>
    <row r="9" spans="2:21">
      <c r="B9" s="19">
        <v>-1.08</v>
      </c>
      <c r="C9" s="23">
        <f t="shared" si="0"/>
        <v>1.0499999999999998</v>
      </c>
      <c r="D9" s="23">
        <v>-1.1339999999999999</v>
      </c>
      <c r="N9" s="19">
        <f>($B$7+$R$9)/5</f>
        <v>8.7997202257777776</v>
      </c>
      <c r="O9" s="23">
        <f>($C$7*[1]Params!K11)</f>
        <v>4.6001982536027333</v>
      </c>
      <c r="P9" s="23">
        <f>(O9*N9)</f>
        <v>40.480457614815585</v>
      </c>
      <c r="R9" s="19">
        <f>SUM(B9,B12,B13,B16)</f>
        <v>0.63090499888888907</v>
      </c>
      <c r="S9" s="23">
        <v>0</v>
      </c>
      <c r="T9" s="23">
        <f>SUM(D9,D12,D13,D16)</f>
        <v>-0.16714507569935888</v>
      </c>
    </row>
    <row r="10" spans="2:21">
      <c r="B10" s="19">
        <v>-2.44</v>
      </c>
      <c r="C10" s="23">
        <f t="shared" si="0"/>
        <v>1.0837143524590165</v>
      </c>
      <c r="D10" s="23">
        <v>-2.6442630199999999</v>
      </c>
      <c r="O10" s="23"/>
      <c r="P10" s="23"/>
      <c r="R10" s="19">
        <f>SUM(B10,B11,B14,B15,)</f>
        <v>0.54343987111111103</v>
      </c>
      <c r="S10" s="23">
        <v>0</v>
      </c>
      <c r="T10" s="23">
        <f>SUM(D10,D11,D14,D15)</f>
        <v>-0.56652009999999953</v>
      </c>
    </row>
    <row r="11" spans="2:21">
      <c r="B11" s="19">
        <v>-2.44</v>
      </c>
      <c r="C11" s="23">
        <f t="shared" si="0"/>
        <v>1.306959131147541</v>
      </c>
      <c r="D11" s="23">
        <v>-3.18898028</v>
      </c>
      <c r="O11" s="23"/>
      <c r="P11" s="23">
        <f>(SUM(P6:P9))</f>
        <v>81.770524381927487</v>
      </c>
      <c r="R11" s="19"/>
      <c r="S11" s="23"/>
      <c r="T11" s="23"/>
    </row>
    <row r="12" spans="2:21">
      <c r="B12" s="19">
        <v>-2.72</v>
      </c>
      <c r="C12" s="23">
        <f t="shared" si="0"/>
        <v>1.4766262647058821</v>
      </c>
      <c r="D12" s="23">
        <v>-4.0164234399999996</v>
      </c>
      <c r="O12" s="23"/>
      <c r="P12" s="23"/>
      <c r="S12" s="23"/>
      <c r="T12" s="23"/>
    </row>
    <row r="13" spans="2:21">
      <c r="B13" s="19">
        <v>3.0223285400000002</v>
      </c>
      <c r="C13" s="23">
        <f t="shared" si="0"/>
        <v>1.2540000035866385</v>
      </c>
      <c r="D13" s="23">
        <v>3.79</v>
      </c>
      <c r="N13" t="s">
        <v>32</v>
      </c>
      <c r="O13" t="s">
        <v>1</v>
      </c>
      <c r="P13" t="s">
        <v>2</v>
      </c>
      <c r="S13" s="23"/>
      <c r="T13" s="23"/>
    </row>
    <row r="14" spans="2:21">
      <c r="B14" s="19">
        <v>2.7123287600000001</v>
      </c>
      <c r="C14" s="23">
        <f t="shared" si="0"/>
        <v>1.0950000028757576</v>
      </c>
      <c r="D14" s="23">
        <v>2.97</v>
      </c>
      <c r="M14" t="s">
        <v>11</v>
      </c>
      <c r="N14" s="19">
        <f>($B$5+$R$10)/5</f>
        <v>2.5486879742222222</v>
      </c>
      <c r="O14" s="23">
        <f>($C$5*[1]Params!K8)</f>
        <v>1.1188524590163935</v>
      </c>
      <c r="P14" s="23">
        <f>(O14*N14)</f>
        <v>2.8516058072240438</v>
      </c>
      <c r="S14" s="23"/>
      <c r="T14" s="23"/>
    </row>
    <row r="15" spans="2:21">
      <c r="B15" s="19">
        <f>2.44/0.9</f>
        <v>2.7111111111111108</v>
      </c>
      <c r="C15" s="23">
        <v>0.84715200000000002</v>
      </c>
      <c r="D15" s="23">
        <f>B15*C15</f>
        <v>2.2967231999999997</v>
      </c>
      <c r="N15" s="19">
        <f>($B$5+$R$10)/5</f>
        <v>2.5486879742222222</v>
      </c>
      <c r="O15" s="23">
        <f>($C$5*[1]Params!K9)</f>
        <v>1.377049180327869</v>
      </c>
      <c r="P15" s="23">
        <f>(O15*N15)</f>
        <v>3.5096686858142081</v>
      </c>
      <c r="S15" s="23"/>
      <c r="T15" s="23"/>
    </row>
    <row r="16" spans="2:21">
      <c r="B16" s="19">
        <f>4.11968757-B15</f>
        <v>1.4085764588888892</v>
      </c>
      <c r="C16" s="23">
        <v>0.84715200000000002</v>
      </c>
      <c r="D16" s="23">
        <f>B16*C16</f>
        <v>1.1932783643006402</v>
      </c>
      <c r="N16" s="19">
        <f>($B$5+$R$10)/5</f>
        <v>2.5486879742222222</v>
      </c>
      <c r="O16" s="23">
        <f>($C$5*[1]Params!K10)</f>
        <v>1.8934426229508199</v>
      </c>
      <c r="P16" s="23">
        <f>(O16*N16)</f>
        <v>4.8257944429945363</v>
      </c>
      <c r="S16" s="23"/>
      <c r="T16" s="23"/>
    </row>
    <row r="17" spans="2:20">
      <c r="B17" s="19"/>
      <c r="F17" t="s">
        <v>9</v>
      </c>
      <c r="G17" s="23">
        <f>(D18/B18)</f>
        <v>0.86957302178901386</v>
      </c>
      <c r="N17" s="19">
        <f>($B$5+$R$10)/5</f>
        <v>2.5486879742222222</v>
      </c>
      <c r="O17" s="23">
        <f>($C$5*[1]Params!K11)</f>
        <v>4.3032786885245908</v>
      </c>
      <c r="P17" s="23">
        <f>(O17*N17)</f>
        <v>10.967714643169399</v>
      </c>
      <c r="R17">
        <f>(SUM(R5:R12))</f>
        <v>57.690767269999995</v>
      </c>
      <c r="S17" s="23"/>
      <c r="T17" s="23">
        <f>(SUM(T5:T12))</f>
        <v>50.166334824300641</v>
      </c>
    </row>
    <row r="18" spans="2:20">
      <c r="B18" s="19">
        <f>(SUM(B5:B17))</f>
        <v>57.690767270000002</v>
      </c>
      <c r="D18" s="23">
        <f>(SUM(D5:D17))</f>
        <v>50.166334824300641</v>
      </c>
      <c r="O18" s="23"/>
      <c r="P18" s="23"/>
    </row>
    <row r="19" spans="2:20">
      <c r="O19" s="23"/>
      <c r="P19" s="23"/>
    </row>
    <row r="20" spans="2:20">
      <c r="O20" s="23"/>
      <c r="P20" s="23">
        <f>(SUM(P14:P17))</f>
        <v>22.154783579202189</v>
      </c>
    </row>
    <row r="27" spans="2:20">
      <c r="H27" s="24"/>
    </row>
  </sheetData>
  <conditionalFormatting sqref="C5 C7:C8 C13:C16 O6:O9 O14:O17 S5 S7">
    <cfRule type="cellIs" dxfId="99" priority="25" operator="lessThan">
      <formula>$J$3</formula>
    </cfRule>
    <cfRule type="cellIs" dxfId="98" priority="26" operator="greaterThan">
      <formula>$J$3</formula>
    </cfRule>
  </conditionalFormatting>
  <conditionalFormatting sqref="S8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17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D5" sqref="D5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64" width="9.140625" style="14" customWidth="1"/>
    <col min="65" max="16384" width="9.140625" style="14"/>
  </cols>
  <sheetData>
    <row r="3" spans="2:16">
      <c r="I3" t="s">
        <v>3</v>
      </c>
      <c r="J3" s="23">
        <v>3.0561585776657199E-2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1.9801858037759241</v>
      </c>
      <c r="K4" s="4">
        <f>(J4/D10-1)</f>
        <v>-9.9070981120379376E-3</v>
      </c>
    </row>
    <row r="5" spans="2:16">
      <c r="B5" s="35">
        <v>64.74873341</v>
      </c>
      <c r="C5" s="23">
        <f>(D5/B5)</f>
        <v>3.0888635107897165E-2</v>
      </c>
      <c r="D5" s="23">
        <v>2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47">
        <v>4.4560309999999999E-2</v>
      </c>
      <c r="C6" s="28">
        <v>0</v>
      </c>
      <c r="D6" s="29">
        <f>(B6*C6)</f>
        <v>0</v>
      </c>
      <c r="E6" s="23">
        <f>(B6*J3)</f>
        <v>1.3618337362994355E-3</v>
      </c>
      <c r="M6" t="s">
        <v>11</v>
      </c>
      <c r="N6" s="35">
        <f>($B$10/5)</f>
        <v>12.958658743999999</v>
      </c>
      <c r="O6" s="23">
        <f>($C$5*[1]Params!K8)</f>
        <v>4.0155225640266315E-2</v>
      </c>
      <c r="P6" s="23">
        <f>(O6*N6)</f>
        <v>0.52035786586053001</v>
      </c>
    </row>
    <row r="7" spans="2:16">
      <c r="B7" s="35"/>
      <c r="C7" s="23"/>
      <c r="D7" s="25"/>
      <c r="E7" s="23"/>
      <c r="N7" s="35">
        <f>($B$10/5)</f>
        <v>12.958658743999999</v>
      </c>
      <c r="O7" s="23">
        <f>($C$5*[1]Params!K9)</f>
        <v>4.9421816172635469E-2</v>
      </c>
      <c r="P7" s="23">
        <f>(O7*N7)</f>
        <v>0.64044045028988317</v>
      </c>
    </row>
    <row r="8" spans="2:16">
      <c r="N8" s="35">
        <f>($B$10/5)</f>
        <v>12.958658743999999</v>
      </c>
      <c r="O8" s="23">
        <f>($C$5*[1]Params!K10)</f>
        <v>6.7954997237373763E-2</v>
      </c>
      <c r="P8" s="23">
        <f>(O8*N8)</f>
        <v>0.88060561914858926</v>
      </c>
    </row>
    <row r="9" spans="2:16">
      <c r="F9" t="s">
        <v>9</v>
      </c>
      <c r="G9" s="23">
        <f>(D10/B10)</f>
        <v>3.0867392058240933E-2</v>
      </c>
      <c r="N9" s="35">
        <f>($B$10/5)</f>
        <v>12.958658743999999</v>
      </c>
      <c r="O9" s="23">
        <f>($C$5*[1]Params!K11)</f>
        <v>0.15444317553948583</v>
      </c>
      <c r="P9" s="23">
        <f>(O9*N9)</f>
        <v>2.0013764071558851</v>
      </c>
    </row>
    <row r="10" spans="2:16">
      <c r="B10" s="35">
        <f>(SUM(B5:B9))</f>
        <v>64.793293719999994</v>
      </c>
      <c r="D10" s="23">
        <f>(SUM(D5:D9))</f>
        <v>2</v>
      </c>
    </row>
    <row r="11" spans="2:16">
      <c r="P11" s="23">
        <f>(SUM(P6:P9))</f>
        <v>4.042780342454888</v>
      </c>
    </row>
    <row r="22" spans="10:10">
      <c r="J22" s="26"/>
    </row>
  </sheetData>
  <conditionalFormatting sqref="C5">
    <cfRule type="cellIs" dxfId="93" priority="11" operator="lessThan">
      <formula>$J$3</formula>
    </cfRule>
    <cfRule type="cellIs" dxfId="92" priority="12" operator="greaterThan">
      <formula>$J$3</formula>
    </cfRule>
    <cfRule type="cellIs" dxfId="91" priority="5" operator="lessThan">
      <formula>$J$3</formula>
    </cfRule>
    <cfRule type="cellIs" dxfId="90" priority="6" operator="greaterThan">
      <formula>$J$3</formula>
    </cfRule>
  </conditionalFormatting>
  <conditionalFormatting sqref="O6:O9">
    <cfRule type="cellIs" dxfId="89" priority="9" operator="lessThan">
      <formula>$J$3</formula>
    </cfRule>
    <cfRule type="cellIs" dxfId="88" priority="10" operator="greaterThan">
      <formula>$J$3</formula>
    </cfRule>
    <cfRule type="cellIs" dxfId="87" priority="3" operator="lessThan">
      <formula>$J$3</formula>
    </cfRule>
    <cfRule type="cellIs" dxfId="86" priority="4" operator="greaterThan">
      <formula>$J$3</formula>
    </cfRule>
  </conditionalFormatting>
  <conditionalFormatting sqref="G9">
    <cfRule type="cellIs" dxfId="85" priority="7" operator="lessThan">
      <formula>$J$3</formula>
    </cfRule>
    <cfRule type="cellIs" dxfId="84" priority="8" operator="greaterThan">
      <formula>$J$3</formula>
    </cfRule>
    <cfRule type="cellIs" dxfId="83" priority="1" operator="lessThan">
      <formula>$J$3</formula>
    </cfRule>
    <cfRule type="cellIs" dxfId="82" priority="2" operator="greaterThan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O6" sqref="O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0.85950546315006771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47.239336186724529</v>
      </c>
      <c r="K4" s="4">
        <f>(J4/D10-1)</f>
        <v>0.19321384659571916</v>
      </c>
    </row>
    <row r="5" spans="2:16">
      <c r="B5" s="35">
        <v>52.247700000000002</v>
      </c>
      <c r="C5" s="23">
        <f>(D5/B5)</f>
        <v>0.7577367041994193</v>
      </c>
      <c r="D5" s="23">
        <v>39.590000000000003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47">
        <v>0.33236565000000001</v>
      </c>
      <c r="C6" s="28">
        <v>0</v>
      </c>
      <c r="D6" s="29">
        <f>(B6*C6)</f>
        <v>0</v>
      </c>
      <c r="E6" s="23">
        <f>(B6*J3)</f>
        <v>0.2856700919384233</v>
      </c>
      <c r="M6" t="s">
        <v>11</v>
      </c>
      <c r="N6" s="35">
        <f>($B$10/5)</f>
        <v>10.99221313</v>
      </c>
      <c r="O6" s="23">
        <f>($C$5*[1]Params!K8)</f>
        <v>0.98505771545924514</v>
      </c>
      <c r="P6" s="23">
        <f>(O6*N6)</f>
        <v>10.827964353678919</v>
      </c>
    </row>
    <row r="7" spans="2:16">
      <c r="B7" s="35">
        <v>2.3809999999999998</v>
      </c>
      <c r="C7" s="23">
        <v>0</v>
      </c>
      <c r="D7" s="25">
        <f>(B7*C7)</f>
        <v>0</v>
      </c>
      <c r="E7" s="23">
        <f>(B7*J3)</f>
        <v>2.0464825077603108</v>
      </c>
      <c r="N7" s="35">
        <f>($B$10/5)</f>
        <v>10.99221313</v>
      </c>
      <c r="O7" s="23">
        <f>($C$5*[1]Params!K9)</f>
        <v>1.2123787267190709</v>
      </c>
      <c r="P7" s="23">
        <f>(O7*N7)</f>
        <v>13.326725358374052</v>
      </c>
    </row>
    <row r="8" spans="2:16">
      <c r="N8" s="35">
        <f>($B$10/5)</f>
        <v>10.99221313</v>
      </c>
      <c r="O8" s="23">
        <f>($C$5*[1]Params!K10)</f>
        <v>1.6670207492387226</v>
      </c>
      <c r="P8" s="23">
        <f>(O8*N8)</f>
        <v>18.324247367764322</v>
      </c>
    </row>
    <row r="9" spans="2:16">
      <c r="F9" t="s">
        <v>9</v>
      </c>
      <c r="G9" s="23">
        <f>(D10/B10)</f>
        <v>0.72032810011572257</v>
      </c>
      <c r="N9" s="35">
        <f>($B$10/5)</f>
        <v>10.99221313</v>
      </c>
      <c r="O9" s="23">
        <f>($C$5*[1]Params!K11)</f>
        <v>3.7886835209970964</v>
      </c>
      <c r="P9" s="23">
        <f>(O9*N9)</f>
        <v>41.64601674491891</v>
      </c>
    </row>
    <row r="10" spans="2:16">
      <c r="B10" s="35">
        <f>(SUM(B5:B9))</f>
        <v>54.961065650000002</v>
      </c>
      <c r="D10" s="23">
        <f>(SUM(D5:D9))</f>
        <v>39.590000000000003</v>
      </c>
    </row>
    <row r="11" spans="2:16">
      <c r="P11" s="23">
        <f>(SUM(P6:P9))</f>
        <v>84.124953824736195</v>
      </c>
    </row>
    <row r="22" spans="10:10">
      <c r="J22" s="26"/>
    </row>
  </sheetData>
  <conditionalFormatting sqref="C5">
    <cfRule type="cellIs" dxfId="81" priority="5" operator="lessThan">
      <formula>$J$3</formula>
    </cfRule>
    <cfRule type="cellIs" dxfId="80" priority="6" operator="greaterThan">
      <formula>$J$3</formula>
    </cfRule>
  </conditionalFormatting>
  <conditionalFormatting sqref="O6:O9">
    <cfRule type="cellIs" dxfId="79" priority="3" operator="lessThan">
      <formula>$J$3</formula>
    </cfRule>
    <cfRule type="cellIs" dxfId="78" priority="4" operator="greaterThan">
      <formula>$J$3</formula>
    </cfRule>
  </conditionalFormatting>
  <conditionalFormatting sqref="G9">
    <cfRule type="cellIs" dxfId="77" priority="1" operator="lessThan">
      <formula>$J$3</formula>
    </cfRule>
    <cfRule type="cellIs" dxfId="76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26</v>
      </c>
      <c r="N2" t="s">
        <v>27</v>
      </c>
      <c r="X2" t="s">
        <v>28</v>
      </c>
      <c r="Y2" s="19">
        <f>(C234)</f>
        <v>62.55</v>
      </c>
    </row>
    <row r="3" spans="13:25">
      <c r="M3">
        <v>51</v>
      </c>
      <c r="N3">
        <f>(1/213)</f>
        <v>4.6948356807511738E-3</v>
      </c>
    </row>
    <row r="31" spans="2:5">
      <c r="C31" t="s">
        <v>29</v>
      </c>
      <c r="D31" t="s">
        <v>30</v>
      </c>
      <c r="E31" t="s">
        <v>31</v>
      </c>
    </row>
    <row r="32" spans="2:5">
      <c r="B32" s="32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32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32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32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32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32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32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32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32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32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32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32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32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32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32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32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32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32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32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32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32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32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32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32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32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32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32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32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32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32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32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32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32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32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32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32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32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32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32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32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32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32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32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32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32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32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32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32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32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32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32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32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32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32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32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32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32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32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32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32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32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32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32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32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32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32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32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32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32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32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32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32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32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32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32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32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32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32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32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32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32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32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32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32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32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32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32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32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32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32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32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32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32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32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32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32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32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32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32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32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32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32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32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32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32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32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32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32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32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32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32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32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32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32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32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32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32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32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32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32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32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32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32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32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32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32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32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32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32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32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32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32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32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32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32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32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32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32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32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32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32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32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32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32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32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32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32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32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32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32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32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32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32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32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32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32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32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32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32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32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32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32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32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32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32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32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32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32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32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32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32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32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32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32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32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32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32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32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32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32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32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32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32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32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32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32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32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32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32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32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32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32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32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32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32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32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32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32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32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32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32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  <row r="233" spans="2:5">
      <c r="B233" s="32">
        <v>45263</v>
      </c>
      <c r="C233" s="19">
        <v>61.82</v>
      </c>
      <c r="D233" s="19">
        <f>(0.2491*$M$3)</f>
        <v>12.704099999999999</v>
      </c>
      <c r="E233" s="19">
        <f>(39400.1607239039*$N$3)</f>
        <v>184.97728039391504</v>
      </c>
    </row>
    <row r="234" spans="2:5">
      <c r="B234" s="32">
        <v>45266</v>
      </c>
      <c r="C234" s="19">
        <v>62.55</v>
      </c>
      <c r="D234" s="19">
        <f>(0.2418*$M$3)</f>
        <v>12.331799999999999</v>
      </c>
      <c r="E234" s="19">
        <f>(44800.1607239039*$N$3)</f>
        <v>210.32939306997136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2:V26"/>
  <sheetViews>
    <sheetView workbookViewId="0">
      <selection activeCell="L21" sqref="L2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3">
        <v>2.8198943966325509</v>
      </c>
      <c r="M3" t="s">
        <v>4</v>
      </c>
      <c r="N3" s="26">
        <f>(INDEX(N5:N29,MATCH(MAX(O6:O7,O14:O15),O5:O29,0))/0.9)</f>
        <v>5.0333333333333332</v>
      </c>
      <c r="O3" s="24">
        <f>(MAX(O6:O7,O14:O15)*0.85)</f>
        <v>2.4397671026490069</v>
      </c>
      <c r="P3" s="23">
        <f>(O3*N3)</f>
        <v>12.280161083333335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(B23*J3)</f>
        <v>42.528602915782713</v>
      </c>
      <c r="K4" s="4">
        <f>(J4/D23-1)</f>
        <v>1.4153469082569643</v>
      </c>
      <c r="O4" s="23"/>
      <c r="P4" s="23"/>
      <c r="R4" t="s">
        <v>5</v>
      </c>
      <c r="S4" t="s">
        <v>6</v>
      </c>
      <c r="T4" t="s">
        <v>7</v>
      </c>
    </row>
    <row r="5" spans="2:22">
      <c r="B5" s="1">
        <v>1.79</v>
      </c>
      <c r="C5" s="23">
        <f>(D5/B5)</f>
        <v>1.6759776536312849</v>
      </c>
      <c r="D5" s="23">
        <v>3</v>
      </c>
      <c r="E5" t="s">
        <v>85</v>
      </c>
      <c r="M5" t="s">
        <v>85</v>
      </c>
      <c r="N5" t="s">
        <v>32</v>
      </c>
      <c r="O5" t="s">
        <v>1</v>
      </c>
      <c r="P5" t="s">
        <v>2</v>
      </c>
      <c r="R5" s="1">
        <f>(B5)</f>
        <v>1.79</v>
      </c>
      <c r="S5" s="23">
        <f>(T5/R5)</f>
        <v>1.6759776536312849</v>
      </c>
      <c r="T5" s="23">
        <f>(D5)</f>
        <v>3</v>
      </c>
    </row>
    <row r="6" spans="2:22">
      <c r="B6" s="1">
        <v>22.5187442</v>
      </c>
      <c r="C6" s="23">
        <f>(D6/B6)</f>
        <v>1.7718572423767751</v>
      </c>
      <c r="D6" s="23">
        <v>39.9</v>
      </c>
      <c r="E6" t="s">
        <v>15</v>
      </c>
      <c r="M6" t="s">
        <v>11</v>
      </c>
      <c r="N6" s="1">
        <f>-B18</f>
        <v>0.37769784172661802</v>
      </c>
      <c r="O6" s="23">
        <f>P6/N6</f>
        <v>2.1765811428571467</v>
      </c>
      <c r="P6" s="23">
        <f>-D18</f>
        <v>0.82208999999999999</v>
      </c>
      <c r="Q6" t="s">
        <v>12</v>
      </c>
      <c r="R6" s="1">
        <f>B6+B19+B21</f>
        <v>13.688744199999999</v>
      </c>
      <c r="S6" s="23">
        <f>(T6/R6)</f>
        <v>1.7818833958486857</v>
      </c>
      <c r="T6" s="23">
        <f>D6+B19*1.74+B21*1.7718</f>
        <v>24.391745999999998</v>
      </c>
      <c r="U6" s="23" t="str">
        <f>(E6)</f>
        <v>DCA2</v>
      </c>
    </row>
    <row r="7" spans="2:22">
      <c r="B7" s="2">
        <v>0.10033733</v>
      </c>
      <c r="C7" s="28">
        <v>0</v>
      </c>
      <c r="D7" s="29">
        <v>0</v>
      </c>
      <c r="E7" s="24">
        <f>B7*J3</f>
        <v>0.28294067464007117</v>
      </c>
      <c r="N7" s="1">
        <f>(($B$5+$R$9)/5)</f>
        <v>0.38226118247719681</v>
      </c>
      <c r="O7" s="23">
        <f>($C$5*[1]Params!K9)</f>
        <v>2.6815642458100561</v>
      </c>
      <c r="P7" s="23">
        <f>(O7*N7)</f>
        <v>1.0250579194919245</v>
      </c>
      <c r="Q7" t="s">
        <v>12</v>
      </c>
      <c r="R7" s="2">
        <f>(B7)</f>
        <v>0.10033733</v>
      </c>
      <c r="S7" s="28">
        <v>0</v>
      </c>
      <c r="T7" s="29">
        <f>(D7)</f>
        <v>0</v>
      </c>
    </row>
    <row r="8" spans="2:22">
      <c r="B8" s="1">
        <v>-0.6</v>
      </c>
      <c r="C8" s="23">
        <f t="shared" ref="C8:C20" si="0">(D8/B8)</f>
        <v>1.9313681166666667</v>
      </c>
      <c r="D8" s="23">
        <v>-1.15882087</v>
      </c>
      <c r="N8" s="1">
        <f>(($B$5+$R$9)/5)</f>
        <v>0.38226118247719681</v>
      </c>
      <c r="O8" s="23">
        <f>($C$5*[1]Params!K10)</f>
        <v>3.6871508379888271</v>
      </c>
      <c r="P8" s="23">
        <f>(O8*N8)</f>
        <v>1.4094546393013963</v>
      </c>
      <c r="R8" s="1">
        <f>(B10+B13+B8+B17)</f>
        <v>0.13581527000000004</v>
      </c>
      <c r="S8" s="23">
        <v>0</v>
      </c>
      <c r="T8" s="23">
        <f>(D10+D13+D8+D17)</f>
        <v>-0.13482086999999998</v>
      </c>
      <c r="U8" t="s">
        <v>86</v>
      </c>
      <c r="V8" s="24">
        <f>-T8+R8*$J$3</f>
        <v>0.51780558885013717</v>
      </c>
    </row>
    <row r="9" spans="2:22">
      <c r="B9" s="1">
        <v>-0.35799999999999998</v>
      </c>
      <c r="C9" s="23">
        <f t="shared" si="0"/>
        <v>2.1201117318435756</v>
      </c>
      <c r="D9" s="23">
        <f>(-0.764+0.005)</f>
        <v>-0.75900000000000001</v>
      </c>
      <c r="N9" s="1">
        <f>(($B$5+$R$9)/5)</f>
        <v>0.38226118247719681</v>
      </c>
      <c r="O9" s="23">
        <f>($C$5*[1]Params!K11)</f>
        <v>8.3798882681564244</v>
      </c>
      <c r="P9" s="23">
        <f>(O9*N9)</f>
        <v>3.2033059984122638</v>
      </c>
      <c r="R9" s="1">
        <f>(B12+B11+B9+B14+B15+B16)</f>
        <v>0.12130591238598404</v>
      </c>
      <c r="S9" s="23">
        <v>0</v>
      </c>
      <c r="T9" s="23">
        <f>(D12+D11+D9+D14)+D15+D16</f>
        <v>-0.16610499999999995</v>
      </c>
      <c r="U9" t="s">
        <v>85</v>
      </c>
      <c r="V9" s="24">
        <f>-T9+R9*$J$3</f>
        <v>0.50817486261563549</v>
      </c>
    </row>
    <row r="10" spans="2:22">
      <c r="B10" s="1">
        <v>-0.6</v>
      </c>
      <c r="C10" s="23">
        <f t="shared" si="0"/>
        <v>2.2549999999999999</v>
      </c>
      <c r="D10" s="23">
        <v>-1.353</v>
      </c>
      <c r="N10" s="1"/>
      <c r="O10" s="23"/>
      <c r="P10" s="23"/>
      <c r="R10" s="1">
        <f>B18</f>
        <v>-0.37769784172661802</v>
      </c>
      <c r="S10" s="23">
        <f>T10/R10</f>
        <v>2.1765811428571467</v>
      </c>
      <c r="T10" s="23">
        <f>D18</f>
        <v>-0.82208999999999999</v>
      </c>
      <c r="U10" t="s">
        <v>87</v>
      </c>
    </row>
    <row r="11" spans="2:22">
      <c r="B11" s="1">
        <v>-0.35742035742035699</v>
      </c>
      <c r="C11" s="23">
        <f t="shared" si="0"/>
        <v>2.5063737456521769</v>
      </c>
      <c r="D11" s="23">
        <v>-0.89582899999999999</v>
      </c>
      <c r="N11" s="1"/>
      <c r="O11" s="23"/>
      <c r="P11" s="23">
        <f>(SUM(P6:P9))</f>
        <v>6.4599085572055852</v>
      </c>
      <c r="R11" s="1">
        <f>B19-B19</f>
        <v>0</v>
      </c>
      <c r="S11" s="23">
        <v>0</v>
      </c>
      <c r="T11" s="24">
        <f>D19-B19*1.74</f>
        <v>-2.6761413800000007</v>
      </c>
    </row>
    <row r="12" spans="2:22">
      <c r="B12" s="1">
        <v>0.38853337131153298</v>
      </c>
      <c r="C12" s="23">
        <f t="shared" si="0"/>
        <v>2.1872767251145362</v>
      </c>
      <c r="D12" s="23">
        <v>0.84982999999999997</v>
      </c>
      <c r="N12" s="1"/>
      <c r="O12" s="23"/>
      <c r="P12" s="23"/>
      <c r="R12" s="1">
        <f>B20</f>
        <v>-0.37687523000000001</v>
      </c>
      <c r="S12" s="23">
        <f>T12/R12</f>
        <v>2.6763791295066008</v>
      </c>
      <c r="T12" s="23">
        <f>D20</f>
        <v>-1.008661</v>
      </c>
    </row>
    <row r="13" spans="2:22">
      <c r="B13" s="1">
        <v>0.66773927</v>
      </c>
      <c r="C13" s="23">
        <f t="shared" si="0"/>
        <v>1.9124230929236794</v>
      </c>
      <c r="D13" s="23">
        <v>1.2769999999999999</v>
      </c>
      <c r="M13" t="s">
        <v>15</v>
      </c>
      <c r="N13" t="s">
        <v>32</v>
      </c>
      <c r="O13" t="s">
        <v>1</v>
      </c>
      <c r="P13" t="s">
        <v>2</v>
      </c>
      <c r="R13" s="1">
        <f>B21-B21</f>
        <v>0</v>
      </c>
      <c r="S13" s="23">
        <v>0</v>
      </c>
      <c r="T13" s="23">
        <f>D21-B21*1.7718</f>
        <v>-4.9762695000000008</v>
      </c>
    </row>
    <row r="14" spans="2:22">
      <c r="B14" s="1">
        <v>0.39380211586237701</v>
      </c>
      <c r="C14" s="23">
        <f t="shared" si="0"/>
        <v>1.7677837978993687</v>
      </c>
      <c r="D14" s="23">
        <v>0.69615700000000003</v>
      </c>
      <c r="M14" t="s">
        <v>11</v>
      </c>
      <c r="N14" s="1">
        <f>-B19</f>
        <v>4.3</v>
      </c>
      <c r="O14" s="23">
        <f>P14/N14</f>
        <v>2.3623584604651162</v>
      </c>
      <c r="P14" s="23">
        <f>-D19</f>
        <v>10.15814138</v>
      </c>
      <c r="Q14" t="s">
        <v>12</v>
      </c>
      <c r="S14" s="23"/>
      <c r="T14" s="23"/>
    </row>
    <row r="15" spans="2:22">
      <c r="B15" s="1">
        <v>-0.36489607390300199</v>
      </c>
      <c r="C15" s="23">
        <f t="shared" si="0"/>
        <v>2.1019875379746855</v>
      </c>
      <c r="D15" s="23">
        <v>-0.76700699999999999</v>
      </c>
      <c r="N15" s="1">
        <f>-B21</f>
        <v>4.53</v>
      </c>
      <c r="O15" s="23">
        <f>P15/N15</f>
        <v>2.8703142384105962</v>
      </c>
      <c r="P15" s="23">
        <f>-D21</f>
        <v>13.002523500000001</v>
      </c>
      <c r="Q15" t="s">
        <v>12</v>
      </c>
      <c r="S15" s="23"/>
      <c r="T15" s="23"/>
    </row>
    <row r="16" spans="2:22">
      <c r="B16" s="1">
        <v>0.41928685653543302</v>
      </c>
      <c r="C16" s="23">
        <f t="shared" si="0"/>
        <v>1.6927408740274241</v>
      </c>
      <c r="D16" s="23">
        <v>0.70974400000000004</v>
      </c>
      <c r="N16" s="1">
        <f>3*(($B$6+$R$8+$R$7)/5)-N15-N14</f>
        <v>4.8229380799999975</v>
      </c>
      <c r="O16" s="23">
        <f>($C$6*[1]Params!K10)</f>
        <v>3.8980859332289057</v>
      </c>
      <c r="P16" s="23">
        <f>(O16*N16)</f>
        <v>18.800227086482018</v>
      </c>
      <c r="S16" s="23"/>
      <c r="T16" s="23"/>
    </row>
    <row r="17" spans="2:20">
      <c r="B17" s="1">
        <v>0.668076</v>
      </c>
      <c r="C17" s="23">
        <f t="shared" si="0"/>
        <v>1.6465192582879793</v>
      </c>
      <c r="D17" s="23">
        <v>1.1000000000000001</v>
      </c>
      <c r="N17" s="1">
        <f>(($B$6+$R$8)/5)</f>
        <v>4.5309118939999999</v>
      </c>
      <c r="O17" s="23">
        <f>($C$6*[1]Params!K11)</f>
        <v>8.8592862118838749</v>
      </c>
      <c r="P17" s="23">
        <f>(O17*N17)</f>
        <v>40.140645269774851</v>
      </c>
      <c r="S17" s="23"/>
      <c r="T17" s="23"/>
    </row>
    <row r="18" spans="2:20">
      <c r="B18" s="1">
        <v>-0.37769784172661802</v>
      </c>
      <c r="C18" s="23">
        <f t="shared" si="0"/>
        <v>2.1765811428571467</v>
      </c>
      <c r="D18" s="23">
        <v>-0.82208999999999999</v>
      </c>
      <c r="E18" t="str">
        <f>U10</f>
        <v>Learn 1/5</v>
      </c>
      <c r="N18" s="1"/>
      <c r="O18" s="23"/>
      <c r="P18" s="23"/>
      <c r="S18" s="23"/>
      <c r="T18" s="23"/>
    </row>
    <row r="19" spans="2:20">
      <c r="B19" s="1">
        <v>-4.3</v>
      </c>
      <c r="C19" s="23">
        <f t="shared" si="0"/>
        <v>2.3623584604651162</v>
      </c>
      <c r="D19" s="23">
        <v>-10.15814138</v>
      </c>
      <c r="O19" s="23"/>
      <c r="P19" s="23">
        <f>(SUM(P14:P17))</f>
        <v>82.10153723625686</v>
      </c>
      <c r="S19" s="23"/>
      <c r="T19" s="23"/>
    </row>
    <row r="20" spans="2:20">
      <c r="B20" s="1">
        <v>-0.37687523000000001</v>
      </c>
      <c r="C20" s="23">
        <f t="shared" si="0"/>
        <v>2.6763791295066008</v>
      </c>
      <c r="D20" s="23">
        <f>-1.008661</f>
        <v>-1.008661</v>
      </c>
      <c r="O20" s="23"/>
      <c r="P20" s="23"/>
      <c r="S20" s="23"/>
      <c r="T20" s="23"/>
    </row>
    <row r="21" spans="2:20">
      <c r="B21" s="1">
        <v>-4.53</v>
      </c>
      <c r="C21" s="23">
        <f>D21/B21</f>
        <v>2.8703142384105962</v>
      </c>
      <c r="D21" s="23">
        <v>-13.002523500000001</v>
      </c>
      <c r="O21" s="23"/>
      <c r="P21" s="23"/>
      <c r="S21" s="23"/>
      <c r="T21" s="23"/>
    </row>
    <row r="22" spans="2:20">
      <c r="C22" s="23"/>
      <c r="D22" s="23"/>
      <c r="F22" t="s">
        <v>9</v>
      </c>
      <c r="G22" s="23">
        <f>(D23/B23)</f>
        <v>1.1674904283904826</v>
      </c>
      <c r="S22" s="23"/>
      <c r="T22" s="23"/>
    </row>
    <row r="23" spans="2:20">
      <c r="B23" s="1">
        <f>(SUM(B5:B22))</f>
        <v>15.081629640659358</v>
      </c>
      <c r="C23" s="23"/>
      <c r="D23" s="23">
        <f>(SUM(D5:D22))</f>
        <v>17.607658249999993</v>
      </c>
      <c r="S23" s="23"/>
      <c r="T23" s="23"/>
    </row>
    <row r="24" spans="2:20">
      <c r="S24" s="23"/>
      <c r="T24" s="23"/>
    </row>
    <row r="25" spans="2:20">
      <c r="S25" s="23"/>
      <c r="T25" s="23"/>
    </row>
    <row r="26" spans="2:20">
      <c r="R26" s="1">
        <f>(SUM(R5:R25))</f>
        <v>15.081629640659363</v>
      </c>
      <c r="S26" s="23"/>
      <c r="T26" s="23">
        <f>(SUM(T5:T25))</f>
        <v>17.607658249999997</v>
      </c>
    </row>
  </sheetData>
  <conditionalFormatting sqref="C5:C6 C12:C14 C16:C17 O8:O9 O16:O17 S5:S6">
    <cfRule type="cellIs" dxfId="75" priority="19" operator="lessThan">
      <formula>$J$3</formula>
    </cfRule>
    <cfRule type="cellIs" dxfId="74" priority="20" operator="greaterThan">
      <formula>$J$3</formula>
    </cfRule>
  </conditionalFormatting>
  <conditionalFormatting sqref="O3">
    <cfRule type="cellIs" dxfId="73" priority="1" operator="greaterThan">
      <formula>$J$3</formula>
    </cfRule>
    <cfRule type="cellIs" dxfId="72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>
  <dimension ref="B2:U26"/>
  <sheetViews>
    <sheetView workbookViewId="0">
      <selection activeCell="U29" sqref="U29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85" width="9.140625" style="14" customWidth="1"/>
    <col min="86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0.38615883936380307</v>
      </c>
      <c r="M3" t="s">
        <v>4</v>
      </c>
      <c r="N3" s="26">
        <f>(INDEX(N5:N22,MATCH(MAX(O6:O7),O5:O22,0))/0.9)</f>
        <v>2.1072222222222221</v>
      </c>
      <c r="O3" s="24">
        <f>(MAX(O6:O7)*0.85)</f>
        <v>0.3145</v>
      </c>
      <c r="P3" s="23">
        <f>(O3*N3)</f>
        <v>0.66272138888888887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2.1978043982134978</v>
      </c>
      <c r="K4" s="4">
        <f>(J4/D14-1)</f>
        <v>1.4274914013137114</v>
      </c>
      <c r="R4" t="s">
        <v>5</v>
      </c>
      <c r="S4" t="s">
        <v>6</v>
      </c>
      <c r="T4" t="s">
        <v>7</v>
      </c>
    </row>
    <row r="5" spans="2:21">
      <c r="B5" s="35">
        <v>9.4096547000000008</v>
      </c>
      <c r="C5" s="23">
        <f>(D5/B5)</f>
        <v>0.23380241572520191</v>
      </c>
      <c r="D5" s="23">
        <v>2.2000000000000002</v>
      </c>
      <c r="N5" t="s">
        <v>32</v>
      </c>
      <c r="O5" t="s">
        <v>1</v>
      </c>
      <c r="P5" t="s">
        <v>2</v>
      </c>
      <c r="R5" s="35">
        <f>(B5)</f>
        <v>9.4096547000000008</v>
      </c>
      <c r="S5" s="23">
        <f>(T5/R5)</f>
        <v>0.23380241572520191</v>
      </c>
      <c r="T5" s="23">
        <f>D5</f>
        <v>2.2000000000000002</v>
      </c>
    </row>
    <row r="6" spans="2:21">
      <c r="B6" s="47">
        <v>7.4797039999999995E-2</v>
      </c>
      <c r="C6" s="28">
        <v>0</v>
      </c>
      <c r="D6" s="28">
        <f>(B6*C6)</f>
        <v>0</v>
      </c>
      <c r="E6" s="23">
        <f>(B6*J3)</f>
        <v>2.8883538154247951E-2</v>
      </c>
      <c r="M6" t="s">
        <v>11</v>
      </c>
      <c r="N6" s="35">
        <f>-B7/2</f>
        <v>1.8965000000000001</v>
      </c>
      <c r="O6" s="23">
        <v>0.3</v>
      </c>
      <c r="P6" s="23">
        <f>(O6*N6)</f>
        <v>0.56894999999999996</v>
      </c>
      <c r="Q6" s="24"/>
      <c r="R6" s="47">
        <f>(B6)</f>
        <v>7.4797039999999995E-2</v>
      </c>
      <c r="S6" s="28">
        <v>0</v>
      </c>
      <c r="T6" s="28">
        <f>(D6)</f>
        <v>0</v>
      </c>
      <c r="U6" s="23">
        <f>(E6)</f>
        <v>2.8883538154247951E-2</v>
      </c>
    </row>
    <row r="7" spans="2:21">
      <c r="B7" s="35">
        <v>-3.7930000000000001</v>
      </c>
      <c r="C7" s="23">
        <f>D7/B7</f>
        <v>0.3413179752175059</v>
      </c>
      <c r="D7" s="23">
        <f>-1.29461908</f>
        <v>-1.2946190799999999</v>
      </c>
      <c r="N7" s="35">
        <f>-B7/2</f>
        <v>1.8965000000000001</v>
      </c>
      <c r="O7" s="23">
        <v>0.37</v>
      </c>
      <c r="P7" s="23">
        <f>(O7*N7)</f>
        <v>0.70170500000000002</v>
      </c>
      <c r="Q7" s="24"/>
      <c r="R7" s="35"/>
      <c r="S7" s="23"/>
      <c r="T7" s="23"/>
      <c r="U7" s="24"/>
    </row>
    <row r="8" spans="2:21">
      <c r="B8" s="35"/>
      <c r="C8" s="23"/>
      <c r="D8" s="23"/>
      <c r="N8" s="35">
        <f>($B$14-B7)/5</f>
        <v>1.8968903480000001</v>
      </c>
      <c r="O8" s="23">
        <f>($C$5*[1]Params!K10)</f>
        <v>0.51436531459544421</v>
      </c>
      <c r="P8" s="23">
        <f>(O8*N8)</f>
        <v>0.97569460060208169</v>
      </c>
      <c r="Q8" s="24"/>
      <c r="R8" s="35"/>
      <c r="S8" s="23"/>
      <c r="T8" s="23"/>
    </row>
    <row r="9" spans="2:21">
      <c r="B9" s="35"/>
      <c r="C9" s="23"/>
      <c r="D9" s="23"/>
      <c r="N9" s="35">
        <f>($B$14-B7)/5</f>
        <v>1.8968903480000001</v>
      </c>
      <c r="O9" s="23">
        <f>($C$5*[1]Params!K11)</f>
        <v>1.1690120786260096</v>
      </c>
      <c r="P9" s="23">
        <f>(O9*N9)</f>
        <v>2.2174877286410948</v>
      </c>
      <c r="Q9" s="24"/>
    </row>
    <row r="10" spans="2:21">
      <c r="B10" s="35"/>
      <c r="C10" s="23"/>
      <c r="D10" s="23"/>
    </row>
    <row r="12" spans="2:21">
      <c r="P12" s="23">
        <f>(SUM(P6:P9))</f>
        <v>4.4638373292431766</v>
      </c>
    </row>
    <row r="13" spans="2:21">
      <c r="F13" t="s">
        <v>9</v>
      </c>
      <c r="G13" s="23">
        <f>(D14/B14)</f>
        <v>0.15907732532227359</v>
      </c>
    </row>
    <row r="14" spans="2:21">
      <c r="B14" s="35">
        <f>(SUM(B5:B13))</f>
        <v>5.6914517400000006</v>
      </c>
      <c r="D14" s="23">
        <f>(SUM(D5:D13))</f>
        <v>0.90538092000000026</v>
      </c>
    </row>
    <row r="17" spans="11:20">
      <c r="N17" s="35"/>
      <c r="R17" s="35">
        <f>(SUM(R5:R16))</f>
        <v>9.4844517400000008</v>
      </c>
      <c r="T17" s="23">
        <f>(SUM(T5:T16))</f>
        <v>2.2000000000000002</v>
      </c>
    </row>
    <row r="20" spans="11:20">
      <c r="K20" s="24"/>
    </row>
    <row r="26" spans="11:20">
      <c r="O26" s="53"/>
    </row>
  </sheetData>
  <conditionalFormatting sqref="C5">
    <cfRule type="cellIs" dxfId="71" priority="13" operator="lessThan">
      <formula>$J$3</formula>
    </cfRule>
    <cfRule type="cellIs" dxfId="70" priority="14" operator="greaterThan">
      <formula>$J$3</formula>
    </cfRule>
  </conditionalFormatting>
  <conditionalFormatting sqref="O8:O9">
    <cfRule type="cellIs" dxfId="69" priority="9" operator="lessThan">
      <formula>$J$3</formula>
    </cfRule>
    <cfRule type="cellIs" dxfId="68" priority="10" operator="greaterThan">
      <formula>$J$3</formula>
    </cfRule>
  </conditionalFormatting>
  <conditionalFormatting sqref="S5">
    <cfRule type="cellIs" dxfId="67" priority="7" operator="lessThan">
      <formula>$J$3</formula>
    </cfRule>
    <cfRule type="cellIs" dxfId="66" priority="8" operator="greaterThan">
      <formula>$J$3</formula>
    </cfRule>
  </conditionalFormatting>
  <conditionalFormatting sqref="G13">
    <cfRule type="cellIs" dxfId="65" priority="3" operator="lessThan">
      <formula>$J$3</formula>
    </cfRule>
    <cfRule type="cellIs" dxfId="64" priority="4" operator="greaterThan">
      <formula>$J$3</formula>
    </cfRule>
  </conditionalFormatting>
  <conditionalFormatting sqref="O3">
    <cfRule type="cellIs" dxfId="63" priority="1" operator="greaterThan">
      <formula>$J$3</formula>
    </cfRule>
    <cfRule type="cellIs" dxfId="62" priority="2" operator="lessThan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S41" sqref="S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4">
        <v>1.021922783129015E-5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(B13*J3)</f>
        <v>4.4943116531161369</v>
      </c>
      <c r="K4" s="4">
        <f>(J4/D13-1)</f>
        <v>-0.10649867731289531</v>
      </c>
    </row>
    <row r="5" spans="2:16">
      <c r="B5" s="22">
        <v>439531.68</v>
      </c>
      <c r="C5" s="54">
        <f>(D5/B5)</f>
        <v>1.1443998757950737E-5</v>
      </c>
      <c r="D5" s="23">
        <v>5.03</v>
      </c>
      <c r="E5" s="23"/>
      <c r="F5" s="23"/>
      <c r="G5" s="23"/>
      <c r="N5" t="s">
        <v>32</v>
      </c>
      <c r="O5" t="s">
        <v>1</v>
      </c>
      <c r="P5" t="s">
        <v>2</v>
      </c>
    </row>
    <row r="6" spans="2:16">
      <c r="B6" s="47">
        <v>258.07</v>
      </c>
      <c r="C6" s="28">
        <v>0</v>
      </c>
      <c r="D6" s="29">
        <f>(B6*C6)</f>
        <v>0</v>
      </c>
      <c r="E6" s="23">
        <f>(B6*J3)</f>
        <v>2.637276126421049E-3</v>
      </c>
      <c r="F6" s="23"/>
      <c r="G6" s="23"/>
      <c r="M6" t="s">
        <v>11</v>
      </c>
      <c r="N6" s="22">
        <f>($B$5/5)</f>
        <v>87906.335999999996</v>
      </c>
      <c r="O6" s="33">
        <f>($C$5*[1]Params!K8)</f>
        <v>1.4877198385335959E-5</v>
      </c>
      <c r="P6" s="23">
        <f>(O6*N6)</f>
        <v>1.3078000000000003</v>
      </c>
    </row>
    <row r="7" spans="2:16">
      <c r="C7" s="23"/>
      <c r="D7" s="23"/>
      <c r="E7" s="23"/>
      <c r="F7" s="23"/>
      <c r="G7" s="23"/>
      <c r="N7" s="22">
        <f>($B$5/5)</f>
        <v>87906.335999999996</v>
      </c>
      <c r="O7" s="33">
        <f>($C$5*[1]Params!K9)</f>
        <v>1.8310398012721179E-5</v>
      </c>
      <c r="P7" s="23">
        <f>(O7*N7)</f>
        <v>1.6096000000000001</v>
      </c>
    </row>
    <row r="8" spans="2:16">
      <c r="C8" s="23"/>
      <c r="D8" s="23"/>
      <c r="E8" s="23"/>
      <c r="F8" s="23"/>
      <c r="G8" s="23"/>
      <c r="N8" s="22">
        <f>($B$5/5)</f>
        <v>87906.335999999996</v>
      </c>
      <c r="O8" s="33">
        <f>($C$5*[1]Params!K10)</f>
        <v>2.5176797267491623E-5</v>
      </c>
      <c r="P8" s="23">
        <f>(O8*N8)</f>
        <v>2.2132000000000005</v>
      </c>
    </row>
    <row r="9" spans="2:16">
      <c r="C9" s="23"/>
      <c r="D9" s="23"/>
      <c r="E9" s="23"/>
      <c r="F9" s="23"/>
      <c r="G9" s="23"/>
      <c r="N9" s="22">
        <f>($B$5/5)</f>
        <v>87906.335999999996</v>
      </c>
      <c r="O9" s="33">
        <f>($C$5*[1]Params!K11)</f>
        <v>5.7219993789753684E-5</v>
      </c>
      <c r="P9" s="23">
        <f>(O9*N9)</f>
        <v>5.03</v>
      </c>
    </row>
    <row r="10" spans="2:16">
      <c r="C10" s="23"/>
      <c r="D10" s="23"/>
      <c r="E10" s="23"/>
      <c r="F10" s="23"/>
      <c r="G10" s="23"/>
      <c r="O10" s="23"/>
      <c r="P10" s="23"/>
    </row>
    <row r="11" spans="2:16">
      <c r="C11" s="23"/>
      <c r="D11" s="23"/>
      <c r="E11" s="23"/>
      <c r="F11" s="23"/>
      <c r="G11" s="23"/>
      <c r="O11" s="23"/>
      <c r="P11" s="23">
        <f>(SUM(P6:P9))</f>
        <v>10.160600000000002</v>
      </c>
    </row>
    <row r="12" spans="2:16">
      <c r="C12" s="23"/>
      <c r="D12" s="23"/>
      <c r="E12" s="23"/>
      <c r="F12" s="23" t="s">
        <v>9</v>
      </c>
      <c r="G12" s="23">
        <f>(D13/B13)</f>
        <v>1.1437283383707783E-5</v>
      </c>
    </row>
    <row r="13" spans="2:16">
      <c r="B13">
        <f>(SUM(B5:B12))</f>
        <v>439789.75</v>
      </c>
      <c r="C13" s="23"/>
      <c r="D13" s="23">
        <f>(SUM(D5:D12))</f>
        <v>5.03</v>
      </c>
      <c r="E13" s="23"/>
      <c r="F13" s="23"/>
      <c r="G13" s="23"/>
    </row>
  </sheetData>
  <conditionalFormatting sqref="C5">
    <cfRule type="cellIs" dxfId="61" priority="5" operator="lessThan">
      <formula>$J$3</formula>
    </cfRule>
    <cfRule type="cellIs" dxfId="60" priority="6" operator="greaterThan">
      <formula>$J$3</formula>
    </cfRule>
  </conditionalFormatting>
  <conditionalFormatting sqref="J3">
    <cfRule type="cellIs" dxfId="59" priority="3" operator="lessThan">
      <formula>$J$3</formula>
    </cfRule>
    <cfRule type="cellIs" dxfId="58" priority="4" operator="greaterThan">
      <formula>$J$3</formula>
    </cfRule>
  </conditionalFormatting>
  <conditionalFormatting sqref="O6:O9">
    <cfRule type="cellIs" dxfId="57" priority="1" operator="lessThan">
      <formula>$J$3</formula>
    </cfRule>
    <cfRule type="cellIs" dxfId="56" priority="2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Y36" sqref="Y3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48">
        <v>5.1139173732848943E-3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3.0652820735469657</v>
      </c>
      <c r="K4" s="4">
        <f>(J4/D10-1)</f>
        <v>2.1760691182321823E-2</v>
      </c>
    </row>
    <row r="5" spans="2:16">
      <c r="B5">
        <v>599.4</v>
      </c>
      <c r="C5" s="45">
        <f>(D5/B5)</f>
        <v>5.005005005005005E-3</v>
      </c>
      <c r="D5" s="23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C6" s="23"/>
      <c r="D6" s="23"/>
      <c r="M6" t="s">
        <v>11</v>
      </c>
      <c r="N6">
        <f>($B$5/5)</f>
        <v>119.88</v>
      </c>
      <c r="O6" s="48">
        <f>($C$5*[1]Params!K8)</f>
        <v>6.5065065065065065E-3</v>
      </c>
      <c r="P6" s="23">
        <f>(O6*N6)</f>
        <v>0.77999999999999992</v>
      </c>
    </row>
    <row r="7" spans="2:16">
      <c r="C7" s="23"/>
      <c r="D7" s="23"/>
      <c r="N7">
        <f>($B$5/5)</f>
        <v>119.88</v>
      </c>
      <c r="O7" s="45">
        <f>($C$5*[1]Params!K9)</f>
        <v>8.0080080080080079E-3</v>
      </c>
      <c r="P7" s="23">
        <f>(O7*N7)</f>
        <v>0.96</v>
      </c>
    </row>
    <row r="8" spans="2:16">
      <c r="C8" s="23"/>
      <c r="D8" s="23"/>
      <c r="N8">
        <f>($B$5/5)</f>
        <v>119.88</v>
      </c>
      <c r="O8" s="45">
        <f>($C$5*[1]Params!K10)</f>
        <v>1.1011011011011013E-2</v>
      </c>
      <c r="P8" s="23">
        <f>(O8*N8)</f>
        <v>1.32</v>
      </c>
    </row>
    <row r="9" spans="2:16">
      <c r="C9" s="23"/>
      <c r="D9" s="23"/>
      <c r="F9" t="s">
        <v>9</v>
      </c>
      <c r="G9" s="23">
        <f>(D10/B10)</f>
        <v>5.005005005005005E-3</v>
      </c>
      <c r="N9">
        <f>($B$5/5)</f>
        <v>119.88</v>
      </c>
      <c r="O9" s="45">
        <f>($C$5*[1]Params!K11)</f>
        <v>2.5025025025025023E-2</v>
      </c>
      <c r="P9" s="23">
        <f>(O9*N9)</f>
        <v>2.9999999999999996</v>
      </c>
    </row>
    <row r="10" spans="2:16">
      <c r="B10">
        <f>(SUM(B5:B9))</f>
        <v>599.4</v>
      </c>
      <c r="C10" s="23"/>
      <c r="D10" s="23">
        <f>(SUM(D5:D9))</f>
        <v>3</v>
      </c>
      <c r="O10" s="23"/>
      <c r="P10" s="23"/>
    </row>
    <row r="11" spans="2:16">
      <c r="O11" s="23"/>
      <c r="P11" s="23">
        <f>(SUM(P6:P9))</f>
        <v>6.0599999999999987</v>
      </c>
    </row>
  </sheetData>
  <conditionalFormatting sqref="C5 G9 O6:O9">
    <cfRule type="cellIs" dxfId="55" priority="5" operator="lessThan">
      <formula>$J$3</formula>
    </cfRule>
    <cfRule type="cellIs" dxfId="54" priority="6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2:W47"/>
  <sheetViews>
    <sheetView topLeftCell="A7" workbookViewId="0">
      <selection activeCell="Q34" sqref="Q34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81.556945450217498</v>
      </c>
      <c r="M3" t="s">
        <v>4</v>
      </c>
      <c r="N3" s="26">
        <f>(INDEX(N5:N26,MATCH(MAX(O6:O9,O23:O25,O14:O16),O5:O26,0))/0.9)</f>
        <v>0.1209481488888889</v>
      </c>
      <c r="O3" s="24">
        <f>(MAX(O14:O16,O23:O25,O6:O9)*0.85)</f>
        <v>54.583817503516599</v>
      </c>
      <c r="P3" s="23">
        <f>(O3*N3)</f>
        <v>6.601811686339266</v>
      </c>
    </row>
    <row r="4" spans="2:21">
      <c r="B4" t="s">
        <v>5</v>
      </c>
      <c r="C4" t="s">
        <v>6</v>
      </c>
      <c r="D4" t="s">
        <v>7</v>
      </c>
      <c r="E4" t="s">
        <v>38</v>
      </c>
      <c r="I4" t="s">
        <v>8</v>
      </c>
      <c r="J4" s="23">
        <f>(B43*J3)</f>
        <v>310.83161749410067</v>
      </c>
      <c r="K4" s="4">
        <f>(J4/D43-1)</f>
        <v>5.9544028265802851</v>
      </c>
      <c r="O4" s="23"/>
      <c r="P4" s="23"/>
      <c r="R4" t="s">
        <v>5</v>
      </c>
      <c r="S4" t="s">
        <v>6</v>
      </c>
      <c r="T4" t="s">
        <v>7</v>
      </c>
    </row>
    <row r="5" spans="2:21">
      <c r="B5" s="26">
        <f>(0.108955+8*0.0233458)</f>
        <v>0.29572140000000002</v>
      </c>
      <c r="C5" s="23">
        <v>196</v>
      </c>
      <c r="D5" s="23">
        <f>(B5*C5)</f>
        <v>57.961394400000003</v>
      </c>
      <c r="E5" s="23"/>
      <c r="M5" t="s">
        <v>88</v>
      </c>
      <c r="N5" t="s">
        <v>32</v>
      </c>
      <c r="O5" t="s">
        <v>1</v>
      </c>
      <c r="P5" t="s">
        <v>2</v>
      </c>
      <c r="R5" s="26">
        <f>(B5)</f>
        <v>0.29572140000000002</v>
      </c>
      <c r="S5" s="23">
        <f>(C5)</f>
        <v>196</v>
      </c>
      <c r="T5" s="23">
        <f>(R5*S5)</f>
        <v>57.961394400000003</v>
      </c>
    </row>
    <row r="6" spans="2:21">
      <c r="B6" s="26">
        <f>(-0.00801)</f>
        <v>-8.0099999999999998E-3</v>
      </c>
      <c r="C6" s="23">
        <f t="shared" ref="C6:C11" si="0">(D6/B6)</f>
        <v>37.551186017478159</v>
      </c>
      <c r="D6" s="23">
        <v>-0.30078500000000002</v>
      </c>
      <c r="E6" s="23"/>
      <c r="M6" t="s">
        <v>11</v>
      </c>
      <c r="N6" s="26">
        <f>($B$16/5)</f>
        <v>9.8105999999999999E-2</v>
      </c>
      <c r="O6" s="23">
        <f>(C23)</f>
        <v>16.233513403322799</v>
      </c>
      <c r="P6" s="23">
        <f>(O6*N6)</f>
        <v>1.5926050659463866</v>
      </c>
      <c r="Q6" t="s">
        <v>12</v>
      </c>
      <c r="R6" s="26">
        <f>(B6+B7+B8+B9)</f>
        <v>1.406590000000001E-3</v>
      </c>
      <c r="S6" s="23">
        <v>0</v>
      </c>
      <c r="T6" s="23">
        <f>(D6+D7+D8+D9)</f>
        <v>-3.0785000000000007E-2</v>
      </c>
    </row>
    <row r="7" spans="2:21">
      <c r="B7" s="26">
        <v>-7.3249999999999999E-3</v>
      </c>
      <c r="C7" s="23">
        <f t="shared" si="0"/>
        <v>40.955631399317404</v>
      </c>
      <c r="D7" s="23">
        <v>-0.3</v>
      </c>
      <c r="E7" s="23"/>
      <c r="N7" s="26">
        <f>-B36</f>
        <v>0.10885</v>
      </c>
      <c r="O7" s="23">
        <f>P7/N7</f>
        <v>23.941203491042717</v>
      </c>
      <c r="P7" s="23">
        <f>-D36</f>
        <v>2.6059999999999999</v>
      </c>
      <c r="Q7" t="s">
        <v>12</v>
      </c>
      <c r="R7" s="26">
        <f>(B10+B11)</f>
        <v>1.6940399999999939E-3</v>
      </c>
      <c r="S7" s="23">
        <v>0</v>
      </c>
      <c r="T7" s="23">
        <f>(D10+D11)</f>
        <v>-0.22120000000000006</v>
      </c>
    </row>
    <row r="8" spans="2:21">
      <c r="B8" s="26">
        <f>(0.00803628-0.0000683)</f>
        <v>7.9679799999999995E-3</v>
      </c>
      <c r="C8" s="23">
        <f t="shared" si="0"/>
        <v>36.395673683919888</v>
      </c>
      <c r="D8" s="23">
        <v>0.28999999999999998</v>
      </c>
      <c r="E8" s="23"/>
      <c r="N8" s="26">
        <f>(($B$16+$R$20+$R$9)/5)</f>
        <v>0.10885333400000001</v>
      </c>
      <c r="O8" s="23">
        <f>C38</f>
        <v>31.194569999999995</v>
      </c>
      <c r="P8" s="23">
        <f>-D38</f>
        <v>3.1194569999999997</v>
      </c>
      <c r="Q8" t="s">
        <v>12</v>
      </c>
      <c r="R8" s="26">
        <f>(B12)</f>
        <v>2.0999999999999999E-3</v>
      </c>
      <c r="S8" s="23">
        <v>0</v>
      </c>
      <c r="T8" s="23">
        <f>(R8*S8)</f>
        <v>0</v>
      </c>
    </row>
    <row r="9" spans="2:21">
      <c r="B9" s="26">
        <f>(0.00884882-0.00007521)</f>
        <v>8.7736100000000011E-3</v>
      </c>
      <c r="C9" s="23">
        <f t="shared" si="0"/>
        <v>31.913887214043022</v>
      </c>
      <c r="D9" s="23">
        <v>0.28000000000000003</v>
      </c>
      <c r="E9" s="23"/>
      <c r="N9" s="26">
        <f>(($B$16+$R$20+$R$9)/5)</f>
        <v>0.10885333400000001</v>
      </c>
      <c r="O9" s="23">
        <f>($C$16*[1]Params!K11)</f>
        <v>64.216255886490117</v>
      </c>
      <c r="P9" s="23">
        <f>(O9*N9)</f>
        <v>6.9901535502415753</v>
      </c>
      <c r="Q9" t="s">
        <v>12</v>
      </c>
      <c r="R9" s="26">
        <f>(B13)</f>
        <v>1.4273000000000001E-2</v>
      </c>
      <c r="S9" s="23">
        <f>(T9/R9)</f>
        <v>0</v>
      </c>
      <c r="T9" s="23">
        <v>0</v>
      </c>
      <c r="U9" t="str">
        <f>E13</f>
        <v>NFT Burn</v>
      </c>
    </row>
    <row r="10" spans="2:21">
      <c r="B10" s="26">
        <v>0.10169404</v>
      </c>
      <c r="C10" s="23">
        <f t="shared" si="0"/>
        <v>35.006967959970908</v>
      </c>
      <c r="D10" s="23">
        <v>3.56</v>
      </c>
      <c r="E10" s="23"/>
      <c r="O10" s="23"/>
      <c r="P10" s="23"/>
      <c r="R10" s="26">
        <f>(B14)</f>
        <v>6.1610130000000485E-3</v>
      </c>
      <c r="S10" s="23">
        <f>(C14)</f>
        <v>0</v>
      </c>
      <c r="T10" s="23">
        <f>(D14)</f>
        <v>0</v>
      </c>
    </row>
    <row r="11" spans="2:21">
      <c r="B11" s="26">
        <v>-0.1</v>
      </c>
      <c r="C11" s="23">
        <f t="shared" si="0"/>
        <v>37.811999999999998</v>
      </c>
      <c r="D11" s="23">
        <v>-3.7812000000000001</v>
      </c>
      <c r="E11" s="23"/>
      <c r="O11" s="23"/>
      <c r="P11" s="23">
        <f>(SUM(P6:P9))</f>
        <v>14.308215616187962</v>
      </c>
      <c r="R11" s="26">
        <f>(B15)</f>
        <v>5.2777800000000652E-4</v>
      </c>
      <c r="S11" s="23">
        <f>(C15)</f>
        <v>0</v>
      </c>
      <c r="T11" s="23">
        <f>(D15)</f>
        <v>0</v>
      </c>
    </row>
    <row r="12" spans="2:21">
      <c r="B12" s="26">
        <v>2.0999999999999999E-3</v>
      </c>
      <c r="C12" s="23">
        <v>0</v>
      </c>
      <c r="D12" s="23">
        <v>0</v>
      </c>
      <c r="E12" s="23">
        <f>(B12*$J$3)</f>
        <v>0.17126958544545673</v>
      </c>
      <c r="O12" s="23"/>
      <c r="P12" s="23"/>
      <c r="R12" s="26">
        <f>(B16+B23)</f>
        <v>0.39241999999999999</v>
      </c>
      <c r="S12" s="23">
        <f>(T12/R12)</f>
        <v>11.995642423933541</v>
      </c>
      <c r="T12" s="23">
        <f>(D16+D23)</f>
        <v>4.7073299999999998</v>
      </c>
    </row>
    <row r="13" spans="2:21">
      <c r="B13" s="26">
        <f>(0.002039*7)</f>
        <v>1.4273000000000001E-2</v>
      </c>
      <c r="C13" s="23">
        <v>0</v>
      </c>
      <c r="D13" s="23">
        <f>(C13*B13)</f>
        <v>0</v>
      </c>
      <c r="E13" t="s">
        <v>89</v>
      </c>
      <c r="F13" s="24"/>
      <c r="M13" t="s">
        <v>10</v>
      </c>
      <c r="N13" t="s">
        <v>32</v>
      </c>
      <c r="O13" t="s">
        <v>1</v>
      </c>
      <c r="P13" t="s">
        <v>2</v>
      </c>
      <c r="R13" s="26">
        <f>(B17+B21+B37-N16)</f>
        <v>2.4512787999999999</v>
      </c>
      <c r="S13" s="23">
        <f>(T13/R13)</f>
        <v>22.412981753034376</v>
      </c>
      <c r="T13" s="23">
        <f>(D17+11.97*B21+B37*19.42078-N16*19.42078)</f>
        <v>54.940467015999999</v>
      </c>
      <c r="U13" t="s">
        <v>10</v>
      </c>
    </row>
    <row r="14" spans="2:21">
      <c r="B14" s="26">
        <f>(0.60148-0.595318987)</f>
        <v>6.1610130000000485E-3</v>
      </c>
      <c r="C14" s="23">
        <v>0</v>
      </c>
      <c r="D14" s="23">
        <v>0</v>
      </c>
      <c r="E14" s="23">
        <f>(B14*$J$3)</f>
        <v>0.50247340115908479</v>
      </c>
      <c r="M14" t="s">
        <v>11</v>
      </c>
      <c r="N14" s="26">
        <f>(-B21)</f>
        <v>0.28089999999999998</v>
      </c>
      <c r="O14" s="23">
        <f>(C21)</f>
        <v>14.959772160911358</v>
      </c>
      <c r="P14" s="23">
        <f>(O14*N14)</f>
        <v>4.2022000000000004</v>
      </c>
      <c r="Q14" t="s">
        <v>12</v>
      </c>
      <c r="R14" s="27">
        <f>(B18)</f>
        <v>6.2496919999999997E-2</v>
      </c>
      <c r="S14" s="28">
        <f>(C18)</f>
        <v>0</v>
      </c>
      <c r="T14" s="29">
        <f>(D18)</f>
        <v>0</v>
      </c>
    </row>
    <row r="15" spans="2:21">
      <c r="B15" s="26">
        <f>(0.10209-0.101562222)</f>
        <v>5.2777800000000652E-4</v>
      </c>
      <c r="C15" s="23">
        <v>0</v>
      </c>
      <c r="D15" s="23">
        <v>0</v>
      </c>
      <c r="E15" s="23">
        <f>(B15*$J$3)</f>
        <v>4.3043961555825419E-2</v>
      </c>
      <c r="N15" s="26">
        <f>-B37</f>
        <v>2.08</v>
      </c>
      <c r="O15" s="23">
        <f>C37</f>
        <v>31.395271514423076</v>
      </c>
      <c r="P15" s="23">
        <f>(O15*N15)</f>
        <v>65.302164750000003</v>
      </c>
      <c r="Q15" t="s">
        <v>12</v>
      </c>
      <c r="R15" s="26">
        <f>B19+B22+B39-N25</f>
        <v>0.76839725000000014</v>
      </c>
      <c r="S15" s="23">
        <f>(T15/R15)</f>
        <v>23.572310286118274</v>
      </c>
      <c r="T15" s="23">
        <f>(D19+12.6*B22+20.2393*B39-20.2393*N25)</f>
        <v>18.112898399999999</v>
      </c>
      <c r="U15" t="s">
        <v>15</v>
      </c>
    </row>
    <row r="16" spans="2:21">
      <c r="B16" s="26">
        <v>0.49053000000000002</v>
      </c>
      <c r="C16" s="23">
        <f>(D16/B16)</f>
        <v>12.843251177298024</v>
      </c>
      <c r="D16" s="23">
        <v>6.3</v>
      </c>
      <c r="E16" s="23"/>
      <c r="N16" s="26">
        <f>-B40-N25</f>
        <v>1.2328000000000001</v>
      </c>
      <c r="O16" s="23">
        <f>C40</f>
        <v>46.861096439187513</v>
      </c>
      <c r="P16" s="23">
        <f>(O16*N16)</f>
        <v>57.770359690230372</v>
      </c>
      <c r="Q16" t="s">
        <v>12</v>
      </c>
      <c r="R16" s="26">
        <f>(B20)</f>
        <v>4.1474400000000002E-2</v>
      </c>
      <c r="S16" s="23">
        <f>(T16/R16)</f>
        <v>12.055629496749802</v>
      </c>
      <c r="T16" s="23">
        <f>(D20)</f>
        <v>0.5</v>
      </c>
    </row>
    <row r="17" spans="2:22">
      <c r="B17" s="26">
        <v>6.0449788</v>
      </c>
      <c r="C17" s="23">
        <f>(D17/B17)</f>
        <v>20.287912341396467</v>
      </c>
      <c r="D17" s="23">
        <v>122.64</v>
      </c>
      <c r="E17" t="s">
        <v>10</v>
      </c>
      <c r="N17" s="26">
        <f>(B17+R21+R14)/5</f>
        <v>1.2305096680000001</v>
      </c>
      <c r="O17" s="23">
        <f>($S$13*[1]Params!K11)</f>
        <v>112.06490876517188</v>
      </c>
      <c r="P17" s="23">
        <f>(O17*N17)</f>
        <v>137.89695367908195</v>
      </c>
      <c r="R17" s="26">
        <f>(B21-B21)</f>
        <v>0</v>
      </c>
      <c r="S17" s="23">
        <v>0</v>
      </c>
      <c r="T17" s="23">
        <f>(14.952/1.25*-B21+D21)</f>
        <v>-0.84218656000000047</v>
      </c>
      <c r="U17" t="s">
        <v>17</v>
      </c>
    </row>
    <row r="18" spans="2:22">
      <c r="B18" s="27">
        <v>6.2496919999999997E-2</v>
      </c>
      <c r="C18" s="28">
        <v>0</v>
      </c>
      <c r="D18" s="29">
        <v>0</v>
      </c>
      <c r="E18" s="24">
        <f>B18*J3</f>
        <v>5.097057895246607</v>
      </c>
      <c r="O18" s="23"/>
      <c r="P18" s="23"/>
      <c r="R18" s="26">
        <f>(B22-B22)</f>
        <v>0</v>
      </c>
      <c r="S18" s="23">
        <v>0</v>
      </c>
      <c r="T18" s="23">
        <f>(12.6*-B22+D22)</f>
        <v>-0.26295951999999989</v>
      </c>
      <c r="U18" t="s">
        <v>16</v>
      </c>
    </row>
    <row r="19" spans="2:22">
      <c r="B19" s="26">
        <v>1.87183725</v>
      </c>
      <c r="C19" s="23">
        <f t="shared" ref="C19:C32" si="1">(D19/B19)</f>
        <v>21.315955754166126</v>
      </c>
      <c r="D19" s="23">
        <v>39.9</v>
      </c>
      <c r="E19" t="s">
        <v>15</v>
      </c>
      <c r="O19" s="23"/>
      <c r="P19" s="23">
        <f>(SUM(P14:P17))</f>
        <v>265.17167811931233</v>
      </c>
      <c r="R19" s="26">
        <f>(B26+B27)</f>
        <v>6.3844300000000034E-3</v>
      </c>
      <c r="S19" s="23">
        <v>0</v>
      </c>
      <c r="T19" s="23">
        <f>(D26+D27)</f>
        <v>-6.9880729999999947E-2</v>
      </c>
      <c r="U19" t="s">
        <v>86</v>
      </c>
      <c r="V19" s="24">
        <f>-T19+R19*$J$3</f>
        <v>0.59057533924073236</v>
      </c>
    </row>
    <row r="20" spans="2:22">
      <c r="B20" s="26">
        <v>4.1474400000000002E-2</v>
      </c>
      <c r="C20" s="23">
        <f t="shared" si="1"/>
        <v>12.055629496749802</v>
      </c>
      <c r="D20" s="23">
        <v>0.5</v>
      </c>
      <c r="E20" s="23"/>
      <c r="N20" s="26"/>
      <c r="O20" s="23"/>
      <c r="P20" s="23"/>
      <c r="R20" s="26">
        <f>(B28+B25+B33+B34+B29+B35)</f>
        <v>3.9463670000000006E-2</v>
      </c>
      <c r="S20" s="23">
        <v>0</v>
      </c>
      <c r="T20" s="23">
        <f>(D28+D25+D33+D34+D29+D35)</f>
        <v>-0.41275400000000007</v>
      </c>
      <c r="U20" t="s">
        <v>90</v>
      </c>
      <c r="V20" s="24">
        <f>-T20+R20*$J$3</f>
        <v>3.6312903814553854</v>
      </c>
    </row>
    <row r="21" spans="2:22">
      <c r="B21" s="26">
        <v>-0.28089999999999998</v>
      </c>
      <c r="C21" s="23">
        <f t="shared" si="1"/>
        <v>14.959772160911358</v>
      </c>
      <c r="D21" s="23">
        <v>-4.2022000000000004</v>
      </c>
      <c r="E21" s="23"/>
      <c r="O21" s="23"/>
      <c r="P21" s="23"/>
      <c r="R21" s="26">
        <f>B31+B24+B30+B32</f>
        <v>4.5072619999999994E-2</v>
      </c>
      <c r="S21" s="23">
        <v>0</v>
      </c>
      <c r="T21" s="23">
        <f>D31+D24+D30+D32</f>
        <v>-0.45515192000000004</v>
      </c>
      <c r="U21" t="s">
        <v>91</v>
      </c>
      <c r="V21" s="24">
        <f>-T21+R21*$J$3</f>
        <v>4.1311371306383817</v>
      </c>
    </row>
    <row r="22" spans="2:22">
      <c r="B22" s="26">
        <v>-7.1440000000000003E-2</v>
      </c>
      <c r="C22" s="23">
        <f t="shared" si="1"/>
        <v>16.280844344904814</v>
      </c>
      <c r="D22" s="23">
        <v>-1.1631035199999999</v>
      </c>
      <c r="E22" s="23"/>
      <c r="M22" t="s">
        <v>15</v>
      </c>
      <c r="N22" t="s">
        <v>32</v>
      </c>
      <c r="O22" t="s">
        <v>1</v>
      </c>
      <c r="P22" t="s">
        <v>2</v>
      </c>
      <c r="R22" s="26">
        <f>B36</f>
        <v>-0.10885</v>
      </c>
      <c r="S22" s="24">
        <f>T22/R22</f>
        <v>23.941203491042717</v>
      </c>
      <c r="T22" s="24">
        <f>D36</f>
        <v>-2.6059999999999999</v>
      </c>
      <c r="U22" t="s">
        <v>92</v>
      </c>
    </row>
    <row r="23" spans="2:22">
      <c r="B23" s="26">
        <v>-9.8110000000000003E-2</v>
      </c>
      <c r="C23" s="23">
        <f t="shared" si="1"/>
        <v>16.233513403322799</v>
      </c>
      <c r="D23" s="23">
        <v>-1.59267</v>
      </c>
      <c r="E23" s="23"/>
      <c r="M23" t="s">
        <v>11</v>
      </c>
      <c r="N23" s="26">
        <f>(-B22)</f>
        <v>7.1440000000000003E-2</v>
      </c>
      <c r="O23" s="23">
        <f>(C22)</f>
        <v>16.280844344904814</v>
      </c>
      <c r="P23" s="23">
        <f>(O23*N23)</f>
        <v>1.1631035199999999</v>
      </c>
      <c r="Q23" t="s">
        <v>12</v>
      </c>
      <c r="R23" s="26">
        <f>B37-B37</f>
        <v>0</v>
      </c>
      <c r="S23" s="24">
        <v>0</v>
      </c>
      <c r="T23" s="23">
        <f>D37-B37*19.42078</f>
        <v>-24.906942350000001</v>
      </c>
      <c r="U23" t="s">
        <v>93</v>
      </c>
    </row>
    <row r="24" spans="2:22">
      <c r="B24" s="26">
        <v>-0.31</v>
      </c>
      <c r="C24" s="23">
        <f t="shared" si="1"/>
        <v>18.399999999999999</v>
      </c>
      <c r="D24" s="23">
        <v>-5.7039999999999997</v>
      </c>
      <c r="E24" s="23"/>
      <c r="N24" s="26">
        <f>-B39</f>
        <v>0.65</v>
      </c>
      <c r="O24" s="23">
        <f>($S$15*[1]Params!K9)</f>
        <v>37.715696457789242</v>
      </c>
      <c r="P24" s="23">
        <f>(O24*N24)</f>
        <v>24.515202697563009</v>
      </c>
      <c r="Q24" t="s">
        <v>12</v>
      </c>
      <c r="R24" s="26">
        <f>B38</f>
        <v>-0.1</v>
      </c>
      <c r="S24" s="23">
        <f>T24/R24</f>
        <v>31.194569999999995</v>
      </c>
      <c r="T24" s="23">
        <f>D38</f>
        <v>-3.1194569999999997</v>
      </c>
      <c r="U24" t="s">
        <v>94</v>
      </c>
    </row>
    <row r="25" spans="2:22">
      <c r="B25" s="26">
        <v>-9.8095000000000002E-2</v>
      </c>
      <c r="C25" s="23">
        <f t="shared" si="1"/>
        <v>22.019470921045926</v>
      </c>
      <c r="D25" s="23">
        <v>-2.16</v>
      </c>
      <c r="E25" s="23"/>
      <c r="N25" s="26">
        <f>0.382</f>
        <v>0.38200000000000001</v>
      </c>
      <c r="O25" s="23">
        <f>C40</f>
        <v>46.861096439187513</v>
      </c>
      <c r="P25" s="23">
        <f>(O25*N25)</f>
        <v>17.90093883976963</v>
      </c>
      <c r="Q25" t="s">
        <v>12</v>
      </c>
      <c r="R25" s="26">
        <f>B39-B39</f>
        <v>0</v>
      </c>
      <c r="S25" s="23">
        <v>0</v>
      </c>
      <c r="T25" s="23">
        <f>D39-B39*20.2393</f>
        <v>-8.2515799200000011</v>
      </c>
      <c r="U25" t="s">
        <v>95</v>
      </c>
    </row>
    <row r="26" spans="2:22">
      <c r="B26" s="26">
        <f>(-0.05715)</f>
        <v>-5.7149999999999999E-2</v>
      </c>
      <c r="C26" s="23">
        <f t="shared" si="1"/>
        <v>22.045157130358703</v>
      </c>
      <c r="D26" s="23">
        <v>-1.2598807299999999</v>
      </c>
      <c r="E26" s="23"/>
      <c r="N26" s="26">
        <f>($B$19+$R$19)/5</f>
        <v>0.37564433600000002</v>
      </c>
      <c r="O26" s="23">
        <f>($S$15*[1]Params!K11)</f>
        <v>117.86155143059136</v>
      </c>
      <c r="P26" s="23">
        <f>(O26*N26)</f>
        <v>44.274024227074342</v>
      </c>
      <c r="R26" s="26">
        <f>N16-N16</f>
        <v>0</v>
      </c>
      <c r="S26" s="23">
        <v>0</v>
      </c>
      <c r="T26" s="23">
        <f>-57.77+(N16)*19.42078</f>
        <v>-33.828062416000002</v>
      </c>
      <c r="U26" t="s">
        <v>96</v>
      </c>
    </row>
    <row r="27" spans="2:22">
      <c r="B27" s="26">
        <v>6.3534430000000003E-2</v>
      </c>
      <c r="C27" s="23">
        <f t="shared" si="1"/>
        <v>18.730001984750629</v>
      </c>
      <c r="D27" s="23">
        <v>1.19</v>
      </c>
      <c r="E27" s="23"/>
      <c r="O27" s="23"/>
      <c r="P27" s="23"/>
      <c r="R27" s="26">
        <f>N25-N25</f>
        <v>0</v>
      </c>
      <c r="S27" s="24">
        <v>0</v>
      </c>
      <c r="T27" s="24">
        <f>-P25+N25*20.2393</f>
        <v>-10.169526239769629</v>
      </c>
      <c r="U27" t="s">
        <v>97</v>
      </c>
    </row>
    <row r="28" spans="2:22">
      <c r="B28" s="26">
        <f>(0.02767109+0.08304053-0.00094104)</f>
        <v>0.10977057999999999</v>
      </c>
      <c r="C28" s="23">
        <f t="shared" si="1"/>
        <v>18.584214458919686</v>
      </c>
      <c r="D28" s="23">
        <v>2.04</v>
      </c>
      <c r="E28" s="23"/>
      <c r="O28" s="23"/>
      <c r="P28" s="23">
        <f>(SUM(P23:P26))</f>
        <v>87.853269284406991</v>
      </c>
      <c r="R28" s="26">
        <f>B41</f>
        <v>-0.10879999999999999</v>
      </c>
      <c r="S28" s="23">
        <f>C41</f>
        <v>58.381847426470586</v>
      </c>
      <c r="T28" s="23">
        <f>D41</f>
        <v>-6.3519449999999997</v>
      </c>
      <c r="U28" t="s">
        <v>98</v>
      </c>
    </row>
    <row r="29" spans="2:22">
      <c r="B29" s="26">
        <v>-0.10199999999999999</v>
      </c>
      <c r="C29" s="23">
        <f t="shared" si="1"/>
        <v>22.114333333333335</v>
      </c>
      <c r="D29" s="23">
        <f>(-2.275+0.019338)</f>
        <v>-2.2556620000000001</v>
      </c>
      <c r="E29" s="23"/>
      <c r="S29" s="23"/>
      <c r="T29" s="23"/>
    </row>
    <row r="30" spans="2:22">
      <c r="B30" s="26">
        <v>0.11322</v>
      </c>
      <c r="C30" s="23">
        <f t="shared" si="1"/>
        <v>18.812930577636457</v>
      </c>
      <c r="D30" s="23">
        <v>2.13</v>
      </c>
      <c r="E30" s="23"/>
      <c r="N30" s="26"/>
      <c r="P30" s="26"/>
      <c r="S30" s="23"/>
      <c r="T30" s="23"/>
    </row>
    <row r="31" spans="2:22">
      <c r="B31" s="26">
        <v>0.34735262</v>
      </c>
      <c r="C31" s="23">
        <f t="shared" si="1"/>
        <v>15.48858333067993</v>
      </c>
      <c r="D31" s="23">
        <v>5.38</v>
      </c>
      <c r="E31" s="23"/>
      <c r="S31" s="23"/>
      <c r="T31" s="23"/>
    </row>
    <row r="32" spans="2:22">
      <c r="B32" s="26">
        <v>-0.1055</v>
      </c>
      <c r="C32" s="23">
        <f t="shared" si="1"/>
        <v>21.432719620853081</v>
      </c>
      <c r="D32" s="23">
        <v>-2.2611519200000001</v>
      </c>
      <c r="E32" s="23"/>
      <c r="S32" s="23"/>
      <c r="T32" s="23"/>
    </row>
    <row r="33" spans="2:23">
      <c r="B33" s="26">
        <v>-0.1</v>
      </c>
      <c r="C33" s="23">
        <f t="shared" ref="C33:C41" si="2">D33/B33</f>
        <v>28.47092</v>
      </c>
      <c r="D33" s="23">
        <f>-2.8715+0.024408</f>
        <v>-2.847092</v>
      </c>
      <c r="E33" s="23"/>
      <c r="S33" s="23"/>
      <c r="T33" s="23"/>
    </row>
    <row r="34" spans="2:23">
      <c r="B34" s="26">
        <f>0.11560694-0.00098265-0.0000162</f>
        <v>0.11460809000000001</v>
      </c>
      <c r="C34" s="23">
        <f t="shared" si="2"/>
        <v>23.38403859622824</v>
      </c>
      <c r="D34" s="23">
        <v>2.68</v>
      </c>
      <c r="E34" s="23"/>
      <c r="S34" s="23"/>
      <c r="T34" s="23"/>
    </row>
    <row r="35" spans="2:23">
      <c r="B35" s="26">
        <v>0.11518</v>
      </c>
      <c r="C35" s="23">
        <f t="shared" si="2"/>
        <v>18.492793887827744</v>
      </c>
      <c r="D35" s="23">
        <v>2.13</v>
      </c>
      <c r="E35" s="23"/>
      <c r="F35" s="26"/>
      <c r="H35" s="24"/>
      <c r="J35" s="24"/>
      <c r="S35" s="23"/>
      <c r="T35" s="23"/>
    </row>
    <row r="36" spans="2:23">
      <c r="B36" s="26">
        <v>-0.10885</v>
      </c>
      <c r="C36" s="23">
        <f t="shared" si="2"/>
        <v>23.941203491042717</v>
      </c>
      <c r="D36" s="23">
        <v>-2.6059999999999999</v>
      </c>
      <c r="E36" s="23"/>
      <c r="S36" s="23"/>
      <c r="T36" s="23"/>
    </row>
    <row r="37" spans="2:23">
      <c r="B37" s="26">
        <v>-2.08</v>
      </c>
      <c r="C37" s="23">
        <f t="shared" si="2"/>
        <v>31.395271514423076</v>
      </c>
      <c r="D37" s="23">
        <v>-65.302164750000003</v>
      </c>
      <c r="E37" s="23"/>
      <c r="S37" s="23"/>
      <c r="T37" s="23"/>
    </row>
    <row r="38" spans="2:23">
      <c r="B38" s="26">
        <v>-0.1</v>
      </c>
      <c r="C38" s="23">
        <f t="shared" si="2"/>
        <v>31.194569999999995</v>
      </c>
      <c r="D38" s="23">
        <f>-3.1462+0.026743</f>
        <v>-3.1194569999999997</v>
      </c>
      <c r="E38" s="23"/>
      <c r="N38" s="26"/>
      <c r="P38" s="24"/>
      <c r="S38" s="23"/>
      <c r="T38" s="23"/>
    </row>
    <row r="39" spans="2:23">
      <c r="B39" s="26">
        <v>-0.65</v>
      </c>
      <c r="C39" s="23">
        <f t="shared" si="2"/>
        <v>32.934038338461541</v>
      </c>
      <c r="D39" s="23">
        <f>-21.40712492</f>
        <v>-21.407124920000001</v>
      </c>
      <c r="E39" s="23"/>
      <c r="N39" s="26">
        <f>N16+N25</f>
        <v>1.6148000000000002</v>
      </c>
      <c r="S39" s="23"/>
      <c r="T39" s="23"/>
    </row>
    <row r="40" spans="2:23">
      <c r="B40" s="26">
        <v>-1.6148</v>
      </c>
      <c r="C40" s="23">
        <f t="shared" si="2"/>
        <v>46.861096439187513</v>
      </c>
      <c r="D40" s="23">
        <v>-75.671298530000001</v>
      </c>
      <c r="E40" s="23"/>
      <c r="S40" s="23"/>
      <c r="T40" s="23"/>
    </row>
    <row r="41" spans="2:23">
      <c r="B41" s="26">
        <v>-0.10879999999999999</v>
      </c>
      <c r="C41" s="23">
        <f t="shared" si="2"/>
        <v>58.381847426470586</v>
      </c>
      <c r="D41" s="23">
        <f>-6.4064+0.054455</f>
        <v>-6.3519449999999997</v>
      </c>
      <c r="E41" s="23"/>
      <c r="S41" s="23"/>
      <c r="T41" s="23"/>
    </row>
    <row r="42" spans="2:23">
      <c r="C42" s="23"/>
      <c r="D42" s="23"/>
      <c r="E42" s="23"/>
      <c r="S42" s="23"/>
      <c r="T42" s="23"/>
    </row>
    <row r="43" spans="2:23">
      <c r="B43" s="26">
        <f>(SUM(B5:B42))</f>
        <v>3.8112219110000001</v>
      </c>
      <c r="C43" s="23"/>
      <c r="D43" s="23">
        <f>(SUM(D5:D42))</f>
        <v>44.695659030000002</v>
      </c>
      <c r="E43" s="23"/>
      <c r="F43" t="s">
        <v>9</v>
      </c>
      <c r="G43" s="23">
        <f>(D43/B43)</f>
        <v>11.7273829952013</v>
      </c>
      <c r="R43" s="26">
        <f>(SUM(R5:R36))</f>
        <v>3.8112219109999996</v>
      </c>
      <c r="S43" s="23"/>
      <c r="T43" s="23">
        <f>(SUM(T5:T36))</f>
        <v>44.693659160230382</v>
      </c>
      <c r="V43" t="s">
        <v>9</v>
      </c>
      <c r="W43" s="23">
        <f>(T43/R43)</f>
        <v>11.726858263286886</v>
      </c>
    </row>
    <row r="44" spans="2:23">
      <c r="M44" s="26"/>
      <c r="S44" s="23"/>
      <c r="T44" s="23"/>
    </row>
    <row r="47" spans="2:23">
      <c r="N47" s="26"/>
    </row>
  </sheetData>
  <conditionalFormatting sqref="C5 C8:C10 S5">
    <cfRule type="cellIs" dxfId="53" priority="95" operator="lessThan">
      <formula>$J$3</formula>
    </cfRule>
    <cfRule type="cellIs" dxfId="52" priority="96" operator="greaterThan">
      <formula>$J$3</formula>
    </cfRule>
  </conditionalFormatting>
  <conditionalFormatting sqref="C16:C17">
    <cfRule type="cellIs" dxfId="51" priority="79" operator="lessThan">
      <formula>$J$3</formula>
    </cfRule>
    <cfRule type="cellIs" dxfId="50" priority="80" operator="greaterThan">
      <formula>$J$3</formula>
    </cfRule>
    <cfRule type="cellIs" dxfId="49" priority="81" operator="lessThan">
      <formula>$J$3</formula>
    </cfRule>
    <cfRule type="cellIs" dxfId="48" priority="82" operator="greaterThan">
      <formula>$J$3</formula>
    </cfRule>
    <cfRule type="cellIs" dxfId="47" priority="89" operator="lessThan">
      <formula>$J$3</formula>
    </cfRule>
    <cfRule type="cellIs" dxfId="46" priority="90" operator="greaterThan">
      <formula>$J$3</formula>
    </cfRule>
  </conditionalFormatting>
  <conditionalFormatting sqref="C19:C20 G43 W43">
    <cfRule type="cellIs" dxfId="45" priority="73" operator="lessThan">
      <formula>$J$3</formula>
    </cfRule>
    <cfRule type="cellIs" dxfId="44" priority="74" operator="greaterThan">
      <formula>$J$3</formula>
    </cfRule>
    <cfRule type="cellIs" dxfId="43" priority="75" operator="lessThan">
      <formula>$J$3</formula>
    </cfRule>
    <cfRule type="cellIs" dxfId="42" priority="76" operator="greaterThan">
      <formula>$J$3</formula>
    </cfRule>
    <cfRule type="cellIs" dxfId="41" priority="77" operator="lessThan">
      <formula>$J$3</formula>
    </cfRule>
    <cfRule type="cellIs" dxfId="40" priority="78" operator="greaterThan">
      <formula>$J$3</formula>
    </cfRule>
    <cfRule type="cellIs" dxfId="39" priority="87" operator="lessThan">
      <formula>$J$3</formula>
    </cfRule>
    <cfRule type="cellIs" dxfId="38" priority="88" operator="greaterThan">
      <formula>$J$3</formula>
    </cfRule>
  </conditionalFormatting>
  <conditionalFormatting sqref="C27:C28 C30:C31 C34:C35">
    <cfRule type="cellIs" dxfId="37" priority="65" operator="lessThan">
      <formula>$J$3</formula>
    </cfRule>
    <cfRule type="cellIs" dxfId="36" priority="66" operator="greaterThan">
      <formula>$J$3</formula>
    </cfRule>
    <cfRule type="cellIs" dxfId="35" priority="67" operator="lessThan">
      <formula>$J$3</formula>
    </cfRule>
    <cfRule type="cellIs" dxfId="34" priority="68" operator="greaterThan">
      <formula>$J$3</formula>
    </cfRule>
    <cfRule type="cellIs" dxfId="33" priority="69" operator="lessThan">
      <formula>$J$3</formula>
    </cfRule>
    <cfRule type="cellIs" dxfId="32" priority="70" operator="greaterThan">
      <formula>$J$3</formula>
    </cfRule>
    <cfRule type="cellIs" dxfId="31" priority="71" operator="lessThan">
      <formula>$J$3</formula>
    </cfRule>
    <cfRule type="cellIs" dxfId="30" priority="72" operator="greaterThan">
      <formula>$J$3</formula>
    </cfRule>
    <cfRule type="cellIs" dxfId="29" priority="85" operator="lessThan">
      <formula>$J$3</formula>
    </cfRule>
    <cfRule type="cellIs" dxfId="28" priority="86" operator="greaterThan">
      <formula>$J$3</formula>
    </cfRule>
  </conditionalFormatting>
  <conditionalFormatting sqref="O17 O26 S12:S13 S15:S16">
    <cfRule type="cellIs" dxfId="27" priority="59" operator="lessThan">
      <formula>$J$3</formula>
    </cfRule>
    <cfRule type="cellIs" dxfId="26" priority="60" operator="greaterThan">
      <formula>$J$3</formula>
    </cfRule>
    <cfRule type="cellIs" dxfId="25" priority="61" operator="lessThan">
      <formula>$J$3</formula>
    </cfRule>
    <cfRule type="cellIs" dxfId="24" priority="62" operator="greaterThan">
      <formula>$J$3</formula>
    </cfRule>
  </conditionalFormatting>
  <conditionalFormatting sqref="O3">
    <cfRule type="cellIs" dxfId="23" priority="41" operator="greaterThan">
      <formula>$J$3</formula>
    </cfRule>
    <cfRule type="cellIs" dxfId="22" priority="42" operator="less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R23" sqref="R2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45">
        <v>0.1027352578475529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3">
        <f>(B13*J3)</f>
        <v>0.96030626706819799</v>
      </c>
      <c r="K4" s="4">
        <f>(J4/D13-1)</f>
        <v>0.92061253413639599</v>
      </c>
    </row>
    <row r="5" spans="2:17">
      <c r="B5" s="19">
        <v>9.10125837</v>
      </c>
      <c r="C5" s="45">
        <f>(D5/B5)</f>
        <v>5.4937458060538499E-2</v>
      </c>
      <c r="D5" s="23">
        <v>0.5</v>
      </c>
      <c r="E5" s="23"/>
      <c r="G5" s="23"/>
      <c r="N5" t="s">
        <v>32</v>
      </c>
      <c r="O5" t="s">
        <v>1</v>
      </c>
      <c r="P5" t="s">
        <v>2</v>
      </c>
    </row>
    <row r="6" spans="2:17">
      <c r="B6" s="20">
        <v>0.24612914999999999</v>
      </c>
      <c r="C6" s="28">
        <v>0</v>
      </c>
      <c r="D6" s="29">
        <f>(B6*C6)</f>
        <v>0</v>
      </c>
      <c r="E6" s="23">
        <f>(B6*J3)</f>
        <v>2.5286141689049024E-2</v>
      </c>
      <c r="G6" s="23"/>
      <c r="M6" t="s">
        <v>11</v>
      </c>
      <c r="N6" s="19">
        <f>($B$13/5)</f>
        <v>1.869477504</v>
      </c>
      <c r="O6" s="45">
        <f>($C$5*[1]Params!K8)</f>
        <v>7.1418695478700056E-2</v>
      </c>
      <c r="P6" s="23">
        <f>(O6*N6)</f>
        <v>0.13351564456245626</v>
      </c>
      <c r="Q6" s="23">
        <f>N6*$J$3</f>
        <v>0.19206125341363961</v>
      </c>
    </row>
    <row r="7" spans="2:17">
      <c r="C7" s="23"/>
      <c r="D7" s="23"/>
      <c r="E7" s="23"/>
      <c r="G7" s="23"/>
      <c r="N7" s="19">
        <f>($B$13/5)</f>
        <v>1.869477504</v>
      </c>
      <c r="O7" s="45">
        <f>($C$5*[1]Params!K9)</f>
        <v>8.7899932896861599E-2</v>
      </c>
      <c r="P7" s="23">
        <f>(O7*N7)</f>
        <v>0.16432694715379231</v>
      </c>
      <c r="Q7" s="23">
        <f>Q6*2</f>
        <v>0.38412250682727922</v>
      </c>
    </row>
    <row r="8" spans="2:17">
      <c r="C8" s="23"/>
      <c r="D8" s="23"/>
      <c r="E8" s="23"/>
      <c r="G8" s="23"/>
      <c r="N8" s="19">
        <f>($B$13/5)</f>
        <v>1.869477504</v>
      </c>
      <c r="O8" s="45">
        <f>($C$5*[1]Params!K10)</f>
        <v>0.12086240773318471</v>
      </c>
      <c r="P8" s="23">
        <f>(O8*N8)</f>
        <v>0.22594955233646447</v>
      </c>
      <c r="Q8" s="23">
        <f>Q6*3</f>
        <v>0.57618376024091877</v>
      </c>
    </row>
    <row r="9" spans="2:17">
      <c r="C9" s="23"/>
      <c r="D9" s="23"/>
      <c r="E9" s="23"/>
      <c r="G9" s="23"/>
      <c r="N9" s="19">
        <f>($B$13/5)</f>
        <v>1.869477504</v>
      </c>
      <c r="O9" s="45">
        <f>($C$5*[1]Params!K11)</f>
        <v>0.27468729030269251</v>
      </c>
      <c r="P9" s="23">
        <f>(O9*N9)</f>
        <v>0.51352170985560097</v>
      </c>
      <c r="Q9" s="23">
        <f>Q6*4</f>
        <v>0.76824501365455844</v>
      </c>
    </row>
    <row r="10" spans="2:17">
      <c r="C10" s="23"/>
      <c r="D10" s="23"/>
      <c r="E10" s="23"/>
      <c r="G10" s="23"/>
      <c r="O10" s="23"/>
      <c r="P10" s="23"/>
    </row>
    <row r="11" spans="2:17">
      <c r="C11" s="23"/>
      <c r="D11" s="23"/>
      <c r="E11" s="23"/>
      <c r="G11" s="23"/>
      <c r="O11" s="23"/>
      <c r="P11" s="23">
        <f>(SUM(P6:P9))</f>
        <v>1.037313853908314</v>
      </c>
    </row>
    <row r="12" spans="2:17">
      <c r="C12" s="23"/>
      <c r="D12" s="23"/>
      <c r="E12" s="23"/>
      <c r="F12" t="s">
        <v>9</v>
      </c>
      <c r="G12" s="23">
        <f>(D13/B13)</f>
        <v>5.349088169610839E-2</v>
      </c>
    </row>
    <row r="13" spans="2:17">
      <c r="B13">
        <f>(SUM(B5:B12))</f>
        <v>9.3473875199999998</v>
      </c>
      <c r="C13" s="23"/>
      <c r="D13" s="23">
        <f>(SUM(D5:D12))</f>
        <v>0.5</v>
      </c>
      <c r="E13" s="23"/>
      <c r="G13" s="23"/>
    </row>
  </sheetData>
  <conditionalFormatting sqref="C5">
    <cfRule type="cellIs" dxfId="21" priority="7" operator="lessThan">
      <formula>$J$3</formula>
    </cfRule>
    <cfRule type="cellIs" dxfId="20" priority="8" operator="greaterThan">
      <formula>$J$3</formula>
    </cfRule>
  </conditionalFormatting>
  <conditionalFormatting sqref="O6:O9">
    <cfRule type="cellIs" dxfId="19" priority="5" operator="lessThan">
      <formula>$J$3</formula>
    </cfRule>
    <cfRule type="cellIs" dxfId="18" priority="6" operator="greaterThan">
      <formula>$J$3</formula>
    </cfRule>
    <cfRule type="cellIs" dxfId="17" priority="1" operator="lessThan">
      <formula>$J$3</formula>
    </cfRule>
    <cfRule type="cellIs" dxfId="16" priority="2" operator="greaterThan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23"/>
      <c r="D3" s="23"/>
      <c r="E3" s="23"/>
      <c r="G3" s="23"/>
      <c r="H3" s="23"/>
      <c r="I3" t="s">
        <v>3</v>
      </c>
      <c r="J3" s="23">
        <v>5.9165930425702813</v>
      </c>
      <c r="O3" s="23"/>
      <c r="P3" s="23"/>
    </row>
    <row r="4" spans="2:16">
      <c r="B4" t="s">
        <v>5</v>
      </c>
      <c r="C4" t="s">
        <v>6</v>
      </c>
      <c r="D4" t="s">
        <v>7</v>
      </c>
      <c r="E4" s="23"/>
      <c r="G4" s="23"/>
      <c r="H4" s="23"/>
      <c r="I4" t="s">
        <v>8</v>
      </c>
      <c r="J4" s="23">
        <f>(B10*J3)</f>
        <v>12.134668272764157</v>
      </c>
      <c r="K4" s="4">
        <f>(J4/D10-1)</f>
        <v>7.8637179801258394E-2</v>
      </c>
      <c r="O4" s="23"/>
      <c r="P4" s="23"/>
    </row>
    <row r="5" spans="2:16">
      <c r="B5" s="1">
        <v>2.0483723700000001</v>
      </c>
      <c r="C5" s="23">
        <f>(D5/B5)</f>
        <v>5.4921654698945188</v>
      </c>
      <c r="D5" s="23">
        <v>11.25</v>
      </c>
      <c r="E5" t="s">
        <v>84</v>
      </c>
      <c r="G5" s="23"/>
      <c r="H5" s="23"/>
      <c r="J5" s="23"/>
      <c r="M5" t="s">
        <v>84</v>
      </c>
      <c r="N5" t="s">
        <v>32</v>
      </c>
      <c r="O5" t="s">
        <v>1</v>
      </c>
      <c r="P5" t="s">
        <v>2</v>
      </c>
    </row>
    <row r="6" spans="2:16">
      <c r="B6" s="2">
        <v>2.5829999999999998E-3</v>
      </c>
      <c r="C6" s="28">
        <v>0</v>
      </c>
      <c r="D6" s="28">
        <f>(B6*C6)</f>
        <v>0</v>
      </c>
      <c r="E6" s="23">
        <f>(B6*J3)</f>
        <v>1.5282559828959036E-2</v>
      </c>
      <c r="G6" s="23"/>
      <c r="H6" s="23"/>
      <c r="J6" s="23"/>
      <c r="M6" t="s">
        <v>11</v>
      </c>
      <c r="N6" s="1">
        <f>($B$5/5)</f>
        <v>0.40967447400000001</v>
      </c>
      <c r="O6" s="45">
        <f>($C$5*[1]Params!K8)</f>
        <v>7.1398151108628749</v>
      </c>
      <c r="P6" s="23">
        <f>(O6*N6)</f>
        <v>2.9249999999999998</v>
      </c>
    </row>
    <row r="7" spans="2:16">
      <c r="C7" s="23"/>
      <c r="D7" s="23"/>
      <c r="E7" s="23"/>
      <c r="G7" s="23"/>
      <c r="H7" s="23"/>
      <c r="J7" s="23"/>
      <c r="N7" s="1">
        <f>($B$5/5)</f>
        <v>0.40967447400000001</v>
      </c>
      <c r="O7" s="45">
        <f>($C$5*[1]Params!K9)</f>
        <v>8.7874647518312301</v>
      </c>
      <c r="P7" s="23">
        <f>(O7*N7)</f>
        <v>3.5999999999999996</v>
      </c>
    </row>
    <row r="8" spans="2:16">
      <c r="C8" s="23"/>
      <c r="D8" s="23"/>
      <c r="E8" s="23"/>
      <c r="G8" s="23"/>
      <c r="H8" s="23"/>
      <c r="J8" s="23"/>
      <c r="N8" s="1">
        <f>($B$5/5)</f>
        <v>0.40967447400000001</v>
      </c>
      <c r="O8" s="45">
        <f>($C$5*[1]Params!K10)</f>
        <v>12.082764033767942</v>
      </c>
      <c r="P8" s="23">
        <f>(O8*N8)</f>
        <v>4.95</v>
      </c>
    </row>
    <row r="9" spans="2:16">
      <c r="C9" s="23"/>
      <c r="D9" s="23"/>
      <c r="E9" s="23"/>
      <c r="F9" t="s">
        <v>9</v>
      </c>
      <c r="G9" s="23">
        <f>(D10/B10)</f>
        <v>5.4852485649163585</v>
      </c>
      <c r="H9" s="23"/>
      <c r="J9" s="23"/>
      <c r="N9" s="1">
        <f>($B$5/5)</f>
        <v>0.40967447400000001</v>
      </c>
      <c r="O9" s="45">
        <f>($C$5*[1]Params!K11)</f>
        <v>27.460827349472595</v>
      </c>
      <c r="P9" s="23">
        <f>(O9*N9)</f>
        <v>11.25</v>
      </c>
    </row>
    <row r="10" spans="2:16">
      <c r="B10" s="1">
        <f>(SUM(B5:B9))</f>
        <v>2.0509553700000001</v>
      </c>
      <c r="C10" s="23"/>
      <c r="D10" s="23">
        <f>(SUM(D5:D9))</f>
        <v>11.25</v>
      </c>
      <c r="E10" s="23"/>
      <c r="G10" s="23"/>
      <c r="H10" s="23"/>
      <c r="J10" s="23"/>
      <c r="O10" s="23"/>
      <c r="P10" s="23"/>
    </row>
    <row r="11" spans="2:16">
      <c r="O11" s="23"/>
      <c r="P11" s="23">
        <f>(SUM(P6:P9))</f>
        <v>22.725000000000001</v>
      </c>
    </row>
    <row r="12" spans="2:16">
      <c r="O12" s="23"/>
      <c r="P12" s="23"/>
    </row>
    <row r="13" spans="2:16">
      <c r="O13" s="23"/>
      <c r="P13" s="23"/>
    </row>
  </sheetData>
  <conditionalFormatting sqref="C5">
    <cfRule type="cellIs" dxfId="15" priority="5" operator="lessThan">
      <formula>$J$3</formula>
    </cfRule>
    <cfRule type="cellIs" dxfId="14" priority="6" operator="greaterThan">
      <formula>$J$3</formula>
    </cfRule>
  </conditionalFormatting>
  <conditionalFormatting sqref="O6:O9">
    <cfRule type="cellIs" dxfId="13" priority="3" operator="lessThan">
      <formula>$J$3</formula>
    </cfRule>
    <cfRule type="cellIs" dxfId="12" priority="4" operator="greaterThan">
      <formula>$J$3</formula>
    </cfRule>
  </conditionalFormatting>
  <conditionalFormatting sqref="G9">
    <cfRule type="cellIs" dxfId="11" priority="1" operator="lessThan">
      <formula>$J$3</formula>
    </cfRule>
    <cfRule type="cellIs" dxfId="10" priority="2" operator="greaterThan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V28" sqref="V2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0.61576257679808422</v>
      </c>
      <c r="M3" t="s">
        <v>4</v>
      </c>
      <c r="N3" s="19">
        <f>(INDEX(N5:N14,MATCH(MAX(O6:O7),O5:O14,0))/0.9)</f>
        <v>11.468476370370373</v>
      </c>
      <c r="O3" s="52">
        <f>(MAX(O6:O7)*0.85)</f>
        <v>0.48540838895304461</v>
      </c>
      <c r="P3" s="23">
        <f>(O3*N3)</f>
        <v>5.5668946386875433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19.067018116771443</v>
      </c>
      <c r="K4" s="4">
        <f>(J4/D14-1)</f>
        <v>7.1546322594394276</v>
      </c>
      <c r="R4" t="s">
        <v>5</v>
      </c>
      <c r="S4" t="s">
        <v>6</v>
      </c>
      <c r="T4" t="s">
        <v>7</v>
      </c>
    </row>
    <row r="5" spans="2:21">
      <c r="B5" s="19">
        <v>52.112819999999999</v>
      </c>
      <c r="C5" s="23">
        <f>(D5/B5)</f>
        <v>0.35691793305370928</v>
      </c>
      <c r="D5" s="23">
        <v>18.600000000000001</v>
      </c>
      <c r="N5" t="s">
        <v>32</v>
      </c>
      <c r="O5" t="s">
        <v>1</v>
      </c>
      <c r="P5" t="s">
        <v>2</v>
      </c>
      <c r="R5" s="19">
        <f>(SUM(B$5:B$7))</f>
        <v>54.372160600000001</v>
      </c>
      <c r="S5" s="23">
        <f>(T5/R5)</f>
        <v>0.35128271139550782</v>
      </c>
      <c r="T5" s="23">
        <f>(SUM(D5:D7))</f>
        <v>19.100000000000001</v>
      </c>
    </row>
    <row r="6" spans="2:21">
      <c r="B6" s="20">
        <v>0.79714912999999998</v>
      </c>
      <c r="C6" s="28">
        <v>0</v>
      </c>
      <c r="D6" s="28">
        <f>(B6*C6)</f>
        <v>0</v>
      </c>
      <c r="E6" s="23">
        <f>(B6*J3)</f>
        <v>0.49085460238115103</v>
      </c>
      <c r="M6" t="s">
        <v>11</v>
      </c>
      <c r="N6">
        <f>(-B8)</f>
        <v>10.76</v>
      </c>
      <c r="O6" s="23">
        <f>P6/N6</f>
        <v>0.46958153903345723</v>
      </c>
      <c r="P6" s="23">
        <f>(-D8)</f>
        <v>5.0526973599999998</v>
      </c>
      <c r="Q6" t="s">
        <v>12</v>
      </c>
      <c r="R6">
        <f>(B8)</f>
        <v>-10.76</v>
      </c>
      <c r="S6" s="23">
        <f>(C8)</f>
        <v>0.46958153903345723</v>
      </c>
      <c r="T6" s="23">
        <f>(D8)</f>
        <v>-5.0526973599999998</v>
      </c>
    </row>
    <row r="7" spans="2:21">
      <c r="B7" s="19">
        <v>1.46219147</v>
      </c>
      <c r="C7" s="23">
        <f>(D7/B7)</f>
        <v>0.34195248040942272</v>
      </c>
      <c r="D7" s="23">
        <v>0.5</v>
      </c>
      <c r="N7" s="19">
        <f>(B$14/3)</f>
        <v>10.321628733333336</v>
      </c>
      <c r="O7" s="23">
        <f>($C$5*[1]Params!K9)</f>
        <v>0.57106869288593487</v>
      </c>
      <c r="P7" s="23">
        <f>(O7*N7)</f>
        <v>5.8943590291985757</v>
      </c>
      <c r="Q7" t="s">
        <v>12</v>
      </c>
      <c r="R7" s="19">
        <f>B9+B10+B11</f>
        <v>2.7927256000000007</v>
      </c>
      <c r="S7" s="23">
        <v>0</v>
      </c>
      <c r="T7" s="24">
        <f>D9+D10+D11</f>
        <v>-2.9235217699999998</v>
      </c>
      <c r="U7" s="24"/>
    </row>
    <row r="8" spans="2:21">
      <c r="B8">
        <v>-10.76</v>
      </c>
      <c r="C8" s="23">
        <f>(D8/B8)</f>
        <v>0.46958153903345723</v>
      </c>
      <c r="D8" s="23">
        <v>-5.0526973599999998</v>
      </c>
      <c r="N8" s="19">
        <f>(B$14/3)</f>
        <v>10.321628733333336</v>
      </c>
      <c r="O8" s="23">
        <f>($C$5*[1]Params!K10)</f>
        <v>0.78521945271816052</v>
      </c>
      <c r="P8" s="23">
        <f>(O8*N8)</f>
        <v>8.1047436651480425</v>
      </c>
      <c r="R8" s="19">
        <f>B12</f>
        <v>-15.44</v>
      </c>
      <c r="S8" s="24">
        <f>C12</f>
        <v>0.56901544106217616</v>
      </c>
      <c r="T8" s="24">
        <f>D12</f>
        <v>-8.7855984100000004</v>
      </c>
    </row>
    <row r="9" spans="2:21">
      <c r="B9">
        <v>-21.72</v>
      </c>
      <c r="C9" s="24">
        <f>D9/B9</f>
        <v>0.77456361740331492</v>
      </c>
      <c r="D9" s="23">
        <v>-16.823521769999999</v>
      </c>
      <c r="N9" s="19">
        <f>(B$14/3)</f>
        <v>10.321628733333336</v>
      </c>
      <c r="O9" s="23">
        <f>($C$5*[1]Params!K11)</f>
        <v>1.7845896652685465</v>
      </c>
      <c r="P9" s="23">
        <f>(O9*N9)</f>
        <v>18.419871966245548</v>
      </c>
    </row>
    <row r="10" spans="2:21">
      <c r="B10" s="19">
        <v>12.15260941</v>
      </c>
      <c r="C10" s="23">
        <f>D10/B10</f>
        <v>0.66076344010467125</v>
      </c>
      <c r="D10" s="23">
        <v>8.0299999999999994</v>
      </c>
    </row>
    <row r="11" spans="2:21">
      <c r="B11" s="19">
        <v>12.360116189999999</v>
      </c>
      <c r="C11" s="23">
        <f>D11/B11</f>
        <v>0.47491462942307505</v>
      </c>
      <c r="D11" s="23">
        <v>5.87</v>
      </c>
      <c r="P11" s="23">
        <f>(SUM(P6:P9))</f>
        <v>37.471672020592166</v>
      </c>
    </row>
    <row r="12" spans="2:21">
      <c r="B12" s="19">
        <v>-15.44</v>
      </c>
      <c r="C12" s="24">
        <f>D12/B12</f>
        <v>0.56901544106217616</v>
      </c>
      <c r="D12" s="23">
        <v>-8.7855984100000004</v>
      </c>
    </row>
    <row r="13" spans="2:21">
      <c r="F13" t="s">
        <v>9</v>
      </c>
      <c r="G13" s="23">
        <f>(D14/B14)</f>
        <v>7.5510771940120999E-2</v>
      </c>
    </row>
    <row r="14" spans="2:21">
      <c r="B14" s="19">
        <f>(SUM(B5:B13))</f>
        <v>30.964886200000009</v>
      </c>
      <c r="D14" s="23">
        <f>(SUM(D5:D13))</f>
        <v>2.3381824600000005</v>
      </c>
    </row>
    <row r="18" spans="12:20">
      <c r="R18">
        <f>(SUM(R5:R17))</f>
        <v>30.964886200000009</v>
      </c>
      <c r="T18" s="23">
        <f>(SUM(T5:T17))</f>
        <v>2.3381824600000005</v>
      </c>
    </row>
    <row r="22" spans="12:20">
      <c r="L22" s="24"/>
    </row>
    <row r="25" spans="12:20">
      <c r="N25" s="19"/>
    </row>
  </sheetData>
  <conditionalFormatting sqref="C5 C7 C10:C11 G13 O8:O9 S5">
    <cfRule type="cellIs" dxfId="9" priority="15" operator="lessThan">
      <formula>$J$3</formula>
    </cfRule>
    <cfRule type="cellIs" dxfId="8" priority="16" operator="greaterThan">
      <formula>$J$3</formula>
    </cfRule>
  </conditionalFormatting>
  <conditionalFormatting sqref="O3">
    <cfRule type="cellIs" dxfId="7" priority="9" operator="greaterThan">
      <formula>$J$3</formula>
    </cfRule>
    <cfRule type="cellIs" dxfId="6" priority="10" operator="lessThan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D6" sqref="D6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48" width="9.140625" style="14" customWidth="1"/>
    <col min="49" max="16384" width="9.140625" style="14"/>
  </cols>
  <sheetData>
    <row r="3" spans="2:21">
      <c r="I3" t="s">
        <v>3</v>
      </c>
      <c r="J3" s="45">
        <v>12.91242110123885</v>
      </c>
      <c r="N3" s="19"/>
      <c r="O3" s="52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1.9571432846432224</v>
      </c>
      <c r="K4" s="4">
        <f>(J4/D14-1)</f>
        <v>-2.0497830617475343E-2</v>
      </c>
      <c r="R4" t="s">
        <v>5</v>
      </c>
      <c r="S4" t="s">
        <v>6</v>
      </c>
      <c r="T4" t="s">
        <v>7</v>
      </c>
    </row>
    <row r="5" spans="2:21">
      <c r="B5" s="1">
        <v>0.15156046000000001</v>
      </c>
      <c r="C5" s="23">
        <f>(D5/B5)</f>
        <v>13.183517653614933</v>
      </c>
      <c r="D5" s="23">
        <v>1.9981</v>
      </c>
      <c r="E5" t="s">
        <v>99</v>
      </c>
      <c r="N5" t="s">
        <v>32</v>
      </c>
      <c r="O5" t="s">
        <v>1</v>
      </c>
      <c r="P5" t="s">
        <v>2</v>
      </c>
      <c r="R5" s="19">
        <f>B5</f>
        <v>0.15156046000000001</v>
      </c>
      <c r="S5" s="23">
        <f>(T5/R5)</f>
        <v>13.183517653614933</v>
      </c>
      <c r="T5" s="23">
        <f>D5</f>
        <v>1.9981</v>
      </c>
    </row>
    <row r="6" spans="2:21">
      <c r="B6" s="2">
        <v>1.013E-5</v>
      </c>
      <c r="C6" s="28">
        <v>0</v>
      </c>
      <c r="D6" s="28">
        <f>(B6*C6)</f>
        <v>0</v>
      </c>
      <c r="E6" s="23">
        <f>(B6*J3)</f>
        <v>1.3080282575554954E-4</v>
      </c>
      <c r="M6" t="s">
        <v>11</v>
      </c>
      <c r="N6" s="19">
        <f>(B$14/5)</f>
        <v>3.0314118000000001E-2</v>
      </c>
      <c r="O6" s="23">
        <f>($C$5*[1]Params!K8)</f>
        <v>17.138572949699412</v>
      </c>
      <c r="P6" s="23">
        <f>(O6*N6)</f>
        <v>0.51954072274879604</v>
      </c>
      <c r="R6" s="19">
        <f>(B6)</f>
        <v>1.013E-5</v>
      </c>
      <c r="S6" s="23">
        <f>(C6)</f>
        <v>0</v>
      </c>
      <c r="T6" s="23">
        <f>(D6)</f>
        <v>0</v>
      </c>
    </row>
    <row r="7" spans="2:21">
      <c r="B7" s="19"/>
      <c r="C7" s="23"/>
      <c r="D7" s="23"/>
      <c r="N7" s="19">
        <f>(B$14/5)</f>
        <v>3.0314118000000001E-2</v>
      </c>
      <c r="O7" s="23">
        <f>($C$5*[1]Params!K9)</f>
        <v>21.093628245783894</v>
      </c>
      <c r="P7" s="23">
        <f>(O7*N7)</f>
        <v>0.63943473569082598</v>
      </c>
      <c r="R7" s="19"/>
      <c r="S7" s="23"/>
      <c r="T7" s="24"/>
      <c r="U7" s="24"/>
    </row>
    <row r="8" spans="2:21">
      <c r="C8" s="23"/>
      <c r="D8" s="23"/>
      <c r="N8" s="19">
        <f>(B$14/5)</f>
        <v>3.0314118000000001E-2</v>
      </c>
      <c r="O8" s="23">
        <f>($C$5*[1]Params!K10)</f>
        <v>29.003738837952856</v>
      </c>
      <c r="P8" s="23">
        <f>(O8*N8)</f>
        <v>0.87922276157488577</v>
      </c>
      <c r="R8" s="19"/>
      <c r="S8" s="24"/>
      <c r="T8" s="24"/>
    </row>
    <row r="9" spans="2:21">
      <c r="C9" s="24"/>
      <c r="D9" s="23"/>
      <c r="N9" s="19">
        <f>(B$14/5)</f>
        <v>3.0314118000000001E-2</v>
      </c>
      <c r="O9" s="23">
        <f>($C$5*[1]Params!K11)</f>
        <v>65.917588268074667</v>
      </c>
      <c r="P9" s="23">
        <f>(O9*N9)</f>
        <v>1.9982335490338312</v>
      </c>
    </row>
    <row r="10" spans="2:21">
      <c r="B10" s="19"/>
      <c r="C10" s="23"/>
      <c r="D10" s="23"/>
    </row>
    <row r="11" spans="2:21">
      <c r="B11" s="19"/>
      <c r="C11" s="23"/>
      <c r="D11" s="23"/>
      <c r="P11" s="23">
        <f>(SUM(P6:P9))</f>
        <v>4.0364317690483391</v>
      </c>
    </row>
    <row r="12" spans="2:21">
      <c r="B12" s="19"/>
      <c r="C12" s="24"/>
      <c r="D12" s="23"/>
    </row>
    <row r="13" spans="2:21">
      <c r="F13" t="s">
        <v>9</v>
      </c>
      <c r="G13" s="23">
        <f>(D14/B14)</f>
        <v>13.182636552381302</v>
      </c>
    </row>
    <row r="14" spans="2:21">
      <c r="B14" s="19">
        <f>(SUM(B5:B13))</f>
        <v>0.15157059000000001</v>
      </c>
      <c r="D14" s="23">
        <f>(SUM(D5:D13))</f>
        <v>1.9981</v>
      </c>
    </row>
    <row r="18" spans="12:20">
      <c r="R18">
        <f>(SUM(R5:R17))</f>
        <v>0.15157059000000001</v>
      </c>
      <c r="T18" s="23">
        <f>(SUM(T5:T17))</f>
        <v>1.9981</v>
      </c>
    </row>
    <row r="22" spans="12:20">
      <c r="L22" s="24"/>
    </row>
    <row r="25" spans="12:20">
      <c r="N25" s="19"/>
    </row>
  </sheetData>
  <conditionalFormatting sqref="C5 G13 O6:O9 S5">
    <cfRule type="cellIs" dxfId="5" priority="5" operator="lessThan">
      <formula>$J$3</formula>
    </cfRule>
    <cfRule type="cellIs" dxfId="4" priority="6" operator="greaterThan">
      <formula>$J$3</formula>
    </cfRule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D6" sqref="D6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48" width="9.140625" style="14" customWidth="1"/>
    <col min="49" max="16384" width="9.140625" style="14"/>
  </cols>
  <sheetData>
    <row r="3" spans="2:21">
      <c r="I3" t="s">
        <v>3</v>
      </c>
      <c r="J3" s="45">
        <v>2.8821784634545251</v>
      </c>
      <c r="N3" s="19"/>
      <c r="O3" s="52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1.9872787671869829</v>
      </c>
      <c r="K4" s="4">
        <f>(J4/D14-1)</f>
        <v>-5.4157613798193616E-3</v>
      </c>
      <c r="R4" t="s">
        <v>5</v>
      </c>
      <c r="S4" t="s">
        <v>6</v>
      </c>
      <c r="T4" t="s">
        <v>7</v>
      </c>
    </row>
    <row r="5" spans="2:21">
      <c r="B5" s="35">
        <v>0.68950376999999996</v>
      </c>
      <c r="C5" s="23">
        <f>(D5/B5)</f>
        <v>2.8978811819984682</v>
      </c>
      <c r="D5" s="23">
        <v>1.9981</v>
      </c>
      <c r="E5" t="s">
        <v>99</v>
      </c>
      <c r="N5" t="s">
        <v>32</v>
      </c>
      <c r="O5" t="s">
        <v>1</v>
      </c>
      <c r="P5" t="s">
        <v>2</v>
      </c>
      <c r="R5" s="19">
        <f>B5</f>
        <v>0.68950376999999996</v>
      </c>
      <c r="S5" s="23">
        <f>(T5/R5)</f>
        <v>2.8978811819984682</v>
      </c>
      <c r="T5" s="23">
        <f>D5</f>
        <v>1.9981</v>
      </c>
    </row>
    <row r="6" spans="2:21">
      <c r="B6" s="47">
        <v>2.03E-6</v>
      </c>
      <c r="C6" s="28">
        <v>0</v>
      </c>
      <c r="D6" s="28">
        <f>(B6*C6)</f>
        <v>0</v>
      </c>
      <c r="E6" s="23">
        <f>(B6*J3)</f>
        <v>5.8508222808126861E-6</v>
      </c>
      <c r="M6" t="s">
        <v>11</v>
      </c>
      <c r="N6" s="19">
        <f>(B$14/5)</f>
        <v>0.13790115999999999</v>
      </c>
      <c r="O6" s="23">
        <f>($C$5*[1]Params!K8)</f>
        <v>3.7672455365980086</v>
      </c>
      <c r="P6" s="23">
        <f>(O6*N6)</f>
        <v>0.51950752950168788</v>
      </c>
      <c r="R6" s="19">
        <f>(B6)</f>
        <v>2.03E-6</v>
      </c>
      <c r="S6" s="23">
        <f>(C6)</f>
        <v>0</v>
      </c>
      <c r="T6" s="23">
        <f>(D6)</f>
        <v>0</v>
      </c>
    </row>
    <row r="7" spans="2:21">
      <c r="B7" s="19"/>
      <c r="C7" s="23"/>
      <c r="D7" s="23"/>
      <c r="N7" s="19">
        <f>(B$14/5)</f>
        <v>0.13790115999999999</v>
      </c>
      <c r="O7" s="23">
        <f>($C$5*[1]Params!K9)</f>
        <v>4.6366098911975495</v>
      </c>
      <c r="P7" s="23">
        <f>(O7*N7)</f>
        <v>0.63939388246361584</v>
      </c>
      <c r="R7" s="19"/>
      <c r="S7" s="23"/>
      <c r="T7" s="24"/>
      <c r="U7" s="24"/>
    </row>
    <row r="8" spans="2:21">
      <c r="C8" s="23"/>
      <c r="D8" s="23"/>
      <c r="N8" s="19">
        <f>(B$14/5)</f>
        <v>0.13790115999999999</v>
      </c>
      <c r="O8" s="23">
        <f>($C$5*[1]Params!K10)</f>
        <v>6.3753386003966304</v>
      </c>
      <c r="P8" s="23">
        <f>(O8*N8)</f>
        <v>0.87916658838747175</v>
      </c>
      <c r="R8" s="19"/>
      <c r="S8" s="24"/>
      <c r="T8" s="24"/>
    </row>
    <row r="9" spans="2:21">
      <c r="C9" s="24"/>
      <c r="D9" s="23"/>
      <c r="N9" s="19">
        <f>(B$14/5)</f>
        <v>0.13790115999999999</v>
      </c>
      <c r="O9" s="23">
        <f>($C$5*[1]Params!K11)</f>
        <v>14.489405909992341</v>
      </c>
      <c r="P9" s="23">
        <f>(O9*N9)</f>
        <v>1.9981058826987994</v>
      </c>
    </row>
    <row r="10" spans="2:21">
      <c r="B10" s="19"/>
      <c r="C10" s="23"/>
      <c r="D10" s="23"/>
    </row>
    <row r="11" spans="2:21">
      <c r="B11" s="19"/>
      <c r="C11" s="23"/>
      <c r="D11" s="23"/>
      <c r="P11" s="23">
        <f>(SUM(P6:P9))</f>
        <v>4.0361738830515748</v>
      </c>
    </row>
    <row r="12" spans="2:21">
      <c r="B12" s="19"/>
      <c r="C12" s="24"/>
      <c r="D12" s="23"/>
    </row>
    <row r="13" spans="2:21">
      <c r="F13" t="s">
        <v>9</v>
      </c>
      <c r="G13" s="23">
        <f>(D14/B14)</f>
        <v>2.8978726502373151</v>
      </c>
    </row>
    <row r="14" spans="2:21">
      <c r="B14" s="19">
        <f>(SUM(B5:B13))</f>
        <v>0.68950579999999995</v>
      </c>
      <c r="D14" s="23">
        <f>(SUM(D5:D13))</f>
        <v>1.9981</v>
      </c>
    </row>
    <row r="18" spans="12:20">
      <c r="R18">
        <f>(SUM(R5:R17))</f>
        <v>0.68950579999999995</v>
      </c>
      <c r="T18" s="23">
        <f>(SUM(T5:T17))</f>
        <v>1.9981</v>
      </c>
    </row>
    <row r="22" spans="12:20">
      <c r="L22" s="24"/>
    </row>
    <row r="25" spans="12:20">
      <c r="N25" s="19"/>
    </row>
  </sheetData>
  <conditionalFormatting sqref="C5 G13 O6:O9 S5">
    <cfRule type="cellIs" dxfId="1" priority="3" operator="lessThan">
      <formula>$J$3</formula>
    </cfRule>
    <cfRule type="cellIs" dxfId="0" priority="4" operator="greaterThan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23">
        <v>0.52247959572524016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(B9*J3)</f>
        <v>3.178661364473216</v>
      </c>
      <c r="K4" s="4">
        <f>(J4/D9-1)</f>
        <v>-0.88988799884826941</v>
      </c>
    </row>
    <row r="5" spans="2:16">
      <c r="B5" s="19">
        <v>1.5469999999999999</v>
      </c>
      <c r="C5" s="23">
        <v>10</v>
      </c>
      <c r="D5" s="23">
        <f>(B5*C5)</f>
        <v>15.469999999999999</v>
      </c>
      <c r="N5" t="s">
        <v>1</v>
      </c>
      <c r="O5" t="s">
        <v>32</v>
      </c>
      <c r="P5" t="s">
        <v>2</v>
      </c>
    </row>
    <row r="6" spans="2:16">
      <c r="B6" s="19">
        <v>2.5367999999999999</v>
      </c>
      <c r="C6" s="23">
        <v>3.9409999999999998</v>
      </c>
      <c r="D6" s="23">
        <f>(B6*C6)</f>
        <v>9.9975287999999995</v>
      </c>
      <c r="M6" t="s">
        <v>4</v>
      </c>
      <c r="N6" s="23">
        <f>(MIN(C5:C8)*2)</f>
        <v>3.4</v>
      </c>
      <c r="O6">
        <f>(INDEX(B5:B8,MATCH(N6/2,C5:C8,0)))</f>
        <v>2</v>
      </c>
      <c r="P6" s="23">
        <f>(N6*O6/2)</f>
        <v>3.4</v>
      </c>
    </row>
    <row r="7" spans="2:16">
      <c r="B7" s="19">
        <v>2</v>
      </c>
      <c r="C7" s="23">
        <v>1.7</v>
      </c>
      <c r="D7" s="23">
        <f>(B7*C7)</f>
        <v>3.4</v>
      </c>
    </row>
    <row r="8" spans="2:16">
      <c r="F8" t="s">
        <v>9</v>
      </c>
      <c r="G8" s="23">
        <f>(SUM(D5:D8)/SUM(B5:B8))</f>
        <v>4.744983201288667</v>
      </c>
    </row>
    <row r="9" spans="2:16">
      <c r="B9" s="19">
        <f>(SUM(B5:B8))</f>
        <v>6.0838000000000001</v>
      </c>
      <c r="D9" s="23">
        <f>(SUM(D5:D8))</f>
        <v>28.867528799999995</v>
      </c>
    </row>
    <row r="10" spans="2:16">
      <c r="D10" s="23"/>
      <c r="N10" t="s">
        <v>32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23">
        <f>($C$5*[1]Params!K8)</f>
        <v>13</v>
      </c>
      <c r="P11" s="23">
        <f>(O11*N11)</f>
        <v>4.0221999999999998</v>
      </c>
    </row>
    <row r="12" spans="2:16">
      <c r="N12">
        <f>($B$5/5)</f>
        <v>0.30940000000000001</v>
      </c>
      <c r="O12" s="23">
        <f>($C$5*[1]Params!K9)</f>
        <v>16</v>
      </c>
      <c r="P12" s="23">
        <f>(O12*N12)</f>
        <v>4.9504000000000001</v>
      </c>
    </row>
    <row r="13" spans="2:16">
      <c r="N13">
        <f>($B$5/5)</f>
        <v>0.30940000000000001</v>
      </c>
      <c r="O13" s="23">
        <f>($C$5*[1]Params!K10)</f>
        <v>22</v>
      </c>
      <c r="P13" s="23">
        <f>(O13*N13)</f>
        <v>6.8068</v>
      </c>
    </row>
    <row r="14" spans="2:16">
      <c r="N14">
        <f>($B$5/5)</f>
        <v>0.30940000000000001</v>
      </c>
      <c r="O14" s="23">
        <f>($C$5*[1]Params!K11)</f>
        <v>50</v>
      </c>
      <c r="P14" s="23">
        <f>(O14*N14)</f>
        <v>15.47</v>
      </c>
    </row>
    <row r="17" spans="13:16">
      <c r="P17" s="23">
        <f>(SUM(P11:P14))</f>
        <v>31.249400000000001</v>
      </c>
    </row>
    <row r="19" spans="13:16">
      <c r="N19" t="s">
        <v>32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23">
        <f>($C$6*[1]Params!K8)</f>
        <v>5.1232999999999995</v>
      </c>
      <c r="P20" s="23">
        <f>(O20*N20)</f>
        <v>2.5993574879999999</v>
      </c>
    </row>
    <row r="21" spans="13:16">
      <c r="N21">
        <f>($B$6/5)</f>
        <v>0.50736000000000003</v>
      </c>
      <c r="O21" s="23">
        <f>($C$6*[1]Params!K9)</f>
        <v>6.3056000000000001</v>
      </c>
      <c r="P21" s="23">
        <f>(O21*N21)</f>
        <v>3.1992092160000003</v>
      </c>
    </row>
    <row r="22" spans="13:16">
      <c r="N22">
        <f>($B$6/5)</f>
        <v>0.50736000000000003</v>
      </c>
      <c r="O22" s="23">
        <f>($C$6*[1]Params!K10)</f>
        <v>8.6701999999999995</v>
      </c>
      <c r="P22" s="23">
        <f>(O22*N22)</f>
        <v>4.3989126719999998</v>
      </c>
    </row>
    <row r="23" spans="13:16">
      <c r="N23">
        <f>($B$6/5)</f>
        <v>0.50736000000000003</v>
      </c>
      <c r="O23" s="23">
        <f>($C$6*[1]Params!K11)</f>
        <v>19.704999999999998</v>
      </c>
      <c r="P23" s="23">
        <f>(O23*N23)</f>
        <v>9.9975287999999995</v>
      </c>
    </row>
    <row r="26" spans="13:16">
      <c r="P26" s="23">
        <f>(SUM(P20:P23))</f>
        <v>20.195008176000002</v>
      </c>
    </row>
    <row r="28" spans="13:16">
      <c r="N28" t="s">
        <v>32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23">
        <f>($C$7*[1]Params!K8)</f>
        <v>2.21</v>
      </c>
      <c r="P29" s="23">
        <f>(O29*N29)</f>
        <v>0.88400000000000001</v>
      </c>
    </row>
    <row r="30" spans="13:16">
      <c r="N30">
        <f>($B$7/5)</f>
        <v>0.4</v>
      </c>
      <c r="O30" s="23">
        <f>($C$7*[1]Params!K9)</f>
        <v>2.72</v>
      </c>
      <c r="P30" s="23">
        <f>(O30*N30)</f>
        <v>1.0880000000000001</v>
      </c>
    </row>
    <row r="31" spans="13:16">
      <c r="N31">
        <f>($B$7/5)</f>
        <v>0.4</v>
      </c>
      <c r="O31" s="23">
        <f>($C$7*[1]Params!K10)</f>
        <v>3.74</v>
      </c>
      <c r="P31" s="23">
        <f>(O31*N31)</f>
        <v>1.4960000000000002</v>
      </c>
    </row>
    <row r="32" spans="13:16">
      <c r="N32">
        <f>($B$7/5)</f>
        <v>0.4</v>
      </c>
      <c r="O32" s="23">
        <f>($C$7*[1]Params!K11)</f>
        <v>8.5</v>
      </c>
      <c r="P32" s="23">
        <f>(O32*N32)</f>
        <v>3.4000000000000004</v>
      </c>
    </row>
    <row r="35" spans="16:16">
      <c r="P35" s="23">
        <f>(SUM(P29:P32))</f>
        <v>6.8680000000000003</v>
      </c>
    </row>
  </sheetData>
  <conditionalFormatting sqref="C5:C7">
    <cfRule type="cellIs" dxfId="275" priority="9" operator="lessThan">
      <formula>$J$3</formula>
    </cfRule>
    <cfRule type="cellIs" dxfId="274" priority="10" operator="greaterThan">
      <formula>$J$3</formula>
    </cfRule>
  </conditionalFormatting>
  <conditionalFormatting sqref="O11:O14">
    <cfRule type="cellIs" dxfId="273" priority="7" operator="lessThan">
      <formula>$J$3</formula>
    </cfRule>
    <cfRule type="cellIs" dxfId="272" priority="8" operator="greaterThan">
      <formula>$J$3</formula>
    </cfRule>
  </conditionalFormatting>
  <conditionalFormatting sqref="O20:O23">
    <cfRule type="cellIs" dxfId="271" priority="5" operator="lessThan">
      <formula>$J$3</formula>
    </cfRule>
    <cfRule type="cellIs" dxfId="270" priority="6" operator="greaterThan">
      <formula>$J$3</formula>
    </cfRule>
  </conditionalFormatting>
  <conditionalFormatting sqref="O29:O32">
    <cfRule type="cellIs" dxfId="269" priority="3" operator="lessThan">
      <formula>$J$3</formula>
    </cfRule>
    <cfRule type="cellIs" dxfId="268" priority="4" operator="greaterThan">
      <formula>$J$3</formula>
    </cfRule>
  </conditionalFormatting>
  <conditionalFormatting sqref="N6">
    <cfRule type="cellIs" dxfId="267" priority="1" operator="lessThan">
      <formula>$J$3</formula>
    </cfRule>
    <cfRule type="cellIs" dxfId="266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V77"/>
  <sheetViews>
    <sheetView tabSelected="1" topLeftCell="A10" workbookViewId="0">
      <selection activeCell="L44" sqref="L44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33</v>
      </c>
      <c r="H2">
        <v>734</v>
      </c>
    </row>
    <row r="3" spans="2:14">
      <c r="B3" s="5" t="s">
        <v>34</v>
      </c>
      <c r="C3" s="6"/>
      <c r="D3" s="6"/>
      <c r="E3" s="6"/>
      <c r="F3" s="7"/>
      <c r="I3" t="s">
        <v>35</v>
      </c>
      <c r="J3" s="33">
        <v>6.6027324035284772E-3</v>
      </c>
    </row>
    <row r="4" spans="2:14">
      <c r="B4" s="8"/>
      <c r="C4" t="s">
        <v>6</v>
      </c>
      <c r="D4" t="s">
        <v>36</v>
      </c>
      <c r="E4" t="s">
        <v>37</v>
      </c>
      <c r="F4" s="9" t="s">
        <v>38</v>
      </c>
      <c r="I4" t="s">
        <v>39</v>
      </c>
      <c r="J4">
        <v>6.1439999999999997E-4</v>
      </c>
      <c r="K4" t="s">
        <v>40</v>
      </c>
      <c r="N4" t="s">
        <v>41</v>
      </c>
    </row>
    <row r="5" spans="2:14">
      <c r="B5" s="8" t="s">
        <v>42</v>
      </c>
      <c r="C5" s="28">
        <v>135</v>
      </c>
      <c r="D5" s="23">
        <v>3.5</v>
      </c>
      <c r="E5" s="24">
        <f t="shared" ref="E5:E29" si="0">C5+D5</f>
        <v>138.5</v>
      </c>
      <c r="F5" s="9" t="s">
        <v>43</v>
      </c>
      <c r="I5" t="s">
        <v>44</v>
      </c>
      <c r="J5">
        <v>2.1503999999999998E-3</v>
      </c>
      <c r="K5" t="s">
        <v>40</v>
      </c>
      <c r="N5">
        <v>0.8</v>
      </c>
    </row>
    <row r="6" spans="2:14">
      <c r="B6" s="8" t="s">
        <v>45</v>
      </c>
      <c r="C6" s="28">
        <v>18</v>
      </c>
      <c r="D6" s="23">
        <v>3.5</v>
      </c>
      <c r="E6" s="24">
        <f t="shared" si="0"/>
        <v>21.5</v>
      </c>
      <c r="F6" s="9" t="s">
        <v>43</v>
      </c>
      <c r="I6" t="s">
        <v>46</v>
      </c>
      <c r="J6">
        <v>1.4335999999999999E-3</v>
      </c>
      <c r="K6" t="s">
        <v>40</v>
      </c>
    </row>
    <row r="7" spans="2:14">
      <c r="B7" s="8" t="s">
        <v>47</v>
      </c>
      <c r="C7" s="23">
        <v>18</v>
      </c>
      <c r="D7" s="23">
        <v>3.5</v>
      </c>
      <c r="E7" s="24">
        <f t="shared" si="0"/>
        <v>21.5</v>
      </c>
      <c r="F7" s="9" t="s">
        <v>43</v>
      </c>
      <c r="I7" t="s">
        <v>48</v>
      </c>
      <c r="J7">
        <v>1.7408E-3</v>
      </c>
      <c r="K7" t="s">
        <v>40</v>
      </c>
    </row>
    <row r="8" spans="2:14">
      <c r="B8" s="8" t="s">
        <v>49</v>
      </c>
      <c r="C8" s="23">
        <v>55</v>
      </c>
      <c r="D8" s="23">
        <v>3.5</v>
      </c>
      <c r="E8" s="24">
        <f t="shared" si="0"/>
        <v>58.5</v>
      </c>
      <c r="F8" s="9" t="s">
        <v>43</v>
      </c>
    </row>
    <row r="9" spans="2:14">
      <c r="B9" s="8" t="s">
        <v>49</v>
      </c>
      <c r="C9" s="23">
        <v>-134.99</v>
      </c>
      <c r="D9" s="23">
        <v>0.01</v>
      </c>
      <c r="E9" s="24">
        <f t="shared" si="0"/>
        <v>-134.98000000000002</v>
      </c>
      <c r="F9" s="9" t="s">
        <v>50</v>
      </c>
    </row>
    <row r="10" spans="2:14">
      <c r="B10" s="8" t="s">
        <v>49</v>
      </c>
      <c r="C10" s="23">
        <v>125</v>
      </c>
      <c r="D10" s="23">
        <f>0.002*151</f>
        <v>0.30199999999999999</v>
      </c>
      <c r="E10" s="24">
        <f t="shared" si="0"/>
        <v>125.30200000000001</v>
      </c>
      <c r="F10" s="9" t="s">
        <v>43</v>
      </c>
    </row>
    <row r="11" spans="2:14">
      <c r="B11" s="8" t="s">
        <v>49</v>
      </c>
      <c r="C11" s="23">
        <v>-144.96</v>
      </c>
      <c r="D11" s="23">
        <v>0.01</v>
      </c>
      <c r="E11" s="24">
        <f t="shared" si="0"/>
        <v>-144.95000000000002</v>
      </c>
      <c r="F11" s="9" t="s">
        <v>50</v>
      </c>
    </row>
    <row r="12" spans="2:14">
      <c r="B12" s="8" t="s">
        <v>49</v>
      </c>
      <c r="C12" s="23">
        <v>130</v>
      </c>
      <c r="D12" s="23">
        <f>0.002*151</f>
        <v>0.30199999999999999</v>
      </c>
      <c r="E12" s="24">
        <f t="shared" si="0"/>
        <v>130.30199999999999</v>
      </c>
      <c r="F12" s="9" t="s">
        <v>43</v>
      </c>
      <c r="I12" t="s">
        <v>51</v>
      </c>
      <c r="J12" s="23">
        <f>(SUM(D5:E8))</f>
        <v>254</v>
      </c>
    </row>
    <row r="13" spans="2:14">
      <c r="B13" s="8" t="s">
        <v>49</v>
      </c>
      <c r="C13" s="23">
        <v>-144.94999999999999</v>
      </c>
      <c r="D13" s="23">
        <v>0.01</v>
      </c>
      <c r="E13" s="24">
        <f t="shared" si="0"/>
        <v>-144.94</v>
      </c>
      <c r="F13" s="9" t="s">
        <v>50</v>
      </c>
      <c r="I13" t="s">
        <v>52</v>
      </c>
      <c r="J13" s="23">
        <f>(SUM(K35:K43)-C77*J3+D77)</f>
        <v>9.9261556536267683</v>
      </c>
    </row>
    <row r="14" spans="2:14">
      <c r="B14" s="8" t="s">
        <v>49</v>
      </c>
      <c r="C14" s="23">
        <v>130</v>
      </c>
      <c r="D14" s="23">
        <f>0.01</f>
        <v>0.01</v>
      </c>
      <c r="E14" s="24">
        <f t="shared" si="0"/>
        <v>130.01</v>
      </c>
      <c r="F14" s="9" t="s">
        <v>43</v>
      </c>
      <c r="I14" t="s">
        <v>53</v>
      </c>
      <c r="J14" s="23">
        <f>(-SUM(E9:E31))</f>
        <v>-7.0166399999999376</v>
      </c>
      <c r="K14" s="24">
        <f>(J14-M38-M39-M40-M42-L43)</f>
        <v>-54.066639999999943</v>
      </c>
    </row>
    <row r="15" spans="2:14">
      <c r="B15" s="8" t="s">
        <v>49</v>
      </c>
      <c r="C15" s="23">
        <v>-144.97999999999999</v>
      </c>
      <c r="D15" s="23">
        <v>0.01</v>
      </c>
      <c r="E15" s="24">
        <f t="shared" si="0"/>
        <v>-144.97</v>
      </c>
      <c r="F15" s="9" t="s">
        <v>50</v>
      </c>
      <c r="I15" t="s">
        <v>37</v>
      </c>
      <c r="J15" s="23">
        <f>(J13-J12+J14)</f>
        <v>-251.09048434637316</v>
      </c>
    </row>
    <row r="16" spans="2:14">
      <c r="B16" s="8" t="s">
        <v>49</v>
      </c>
      <c r="C16" s="23">
        <v>130</v>
      </c>
      <c r="D16" s="23">
        <f>0.01</f>
        <v>0.01</v>
      </c>
      <c r="E16" s="24">
        <f t="shared" si="0"/>
        <v>130.01</v>
      </c>
      <c r="F16" s="9" t="s">
        <v>43</v>
      </c>
      <c r="I16" t="s">
        <v>54</v>
      </c>
      <c r="J16" s="23">
        <f>(J15+M47)</f>
        <v>-140.08048434637317</v>
      </c>
    </row>
    <row r="17" spans="2:18">
      <c r="B17" s="8" t="s">
        <v>47</v>
      </c>
      <c r="C17" s="23">
        <v>19.73</v>
      </c>
      <c r="D17" s="23">
        <v>0.28000000000000003</v>
      </c>
      <c r="E17" s="24">
        <f t="shared" si="0"/>
        <v>20.010000000000002</v>
      </c>
      <c r="F17" s="9" t="s">
        <v>43</v>
      </c>
    </row>
    <row r="18" spans="2:18">
      <c r="B18" s="8" t="s">
        <v>47</v>
      </c>
      <c r="C18" s="23">
        <v>38</v>
      </c>
      <c r="D18" s="23">
        <v>0.01</v>
      </c>
      <c r="E18" s="24">
        <f t="shared" si="0"/>
        <v>38.01</v>
      </c>
      <c r="F18" s="9" t="s">
        <v>55</v>
      </c>
      <c r="R18" s="24"/>
    </row>
    <row r="19" spans="2:18">
      <c r="B19" s="8" t="s">
        <v>47</v>
      </c>
      <c r="C19" s="23">
        <v>11.25</v>
      </c>
      <c r="D19" s="23">
        <v>0.01</v>
      </c>
      <c r="E19" s="24">
        <f t="shared" si="0"/>
        <v>11.26</v>
      </c>
      <c r="F19" s="9" t="s">
        <v>43</v>
      </c>
    </row>
    <row r="20" spans="2:18">
      <c r="B20" s="8" t="s">
        <v>47</v>
      </c>
      <c r="C20" s="28">
        <v>8.02</v>
      </c>
      <c r="D20" s="23">
        <v>0.01</v>
      </c>
      <c r="E20" s="24">
        <f t="shared" si="0"/>
        <v>8.0299999999999994</v>
      </c>
      <c r="F20" s="9" t="s">
        <v>43</v>
      </c>
    </row>
    <row r="21" spans="2:18">
      <c r="B21" s="8" t="s">
        <v>45</v>
      </c>
      <c r="C21" s="23">
        <v>6.01</v>
      </c>
      <c r="D21" s="23">
        <v>0</v>
      </c>
      <c r="E21" s="24">
        <f t="shared" si="0"/>
        <v>6.01</v>
      </c>
      <c r="F21" s="9" t="s">
        <v>43</v>
      </c>
    </row>
    <row r="22" spans="2:18">
      <c r="B22" s="8" t="s">
        <v>49</v>
      </c>
      <c r="C22" s="23">
        <v>-30.99</v>
      </c>
      <c r="D22" s="23">
        <v>0</v>
      </c>
      <c r="E22" s="24">
        <f t="shared" si="0"/>
        <v>-30.99</v>
      </c>
      <c r="F22" s="9" t="s">
        <v>50</v>
      </c>
    </row>
    <row r="23" spans="2:18">
      <c r="B23" s="8" t="s">
        <v>49</v>
      </c>
      <c r="C23" s="23">
        <v>27.01</v>
      </c>
      <c r="D23" s="23">
        <v>0</v>
      </c>
      <c r="E23" s="24">
        <f t="shared" si="0"/>
        <v>27.01</v>
      </c>
      <c r="F23" s="9" t="s">
        <v>43</v>
      </c>
    </row>
    <row r="24" spans="2:18">
      <c r="B24" s="8" t="s">
        <v>49</v>
      </c>
      <c r="C24" s="23">
        <v>-47.22</v>
      </c>
      <c r="D24" s="23">
        <v>0</v>
      </c>
      <c r="E24" s="24">
        <f t="shared" si="0"/>
        <v>-47.22</v>
      </c>
      <c r="F24" s="9" t="s">
        <v>50</v>
      </c>
    </row>
    <row r="25" spans="2:18">
      <c r="B25" s="8" t="s">
        <v>49</v>
      </c>
      <c r="C25" s="23">
        <v>35.020000000000003</v>
      </c>
      <c r="D25" s="23">
        <v>0</v>
      </c>
      <c r="E25" s="24">
        <f t="shared" si="0"/>
        <v>35.020000000000003</v>
      </c>
      <c r="F25" s="9" t="s">
        <v>43</v>
      </c>
    </row>
    <row r="26" spans="2:18">
      <c r="B26" s="8" t="s">
        <v>49</v>
      </c>
      <c r="C26" s="23">
        <v>-59.99</v>
      </c>
      <c r="D26" s="23">
        <v>0</v>
      </c>
      <c r="E26" s="24">
        <f t="shared" si="0"/>
        <v>-59.99</v>
      </c>
      <c r="F26" s="9" t="s">
        <v>50</v>
      </c>
    </row>
    <row r="27" spans="2:18">
      <c r="B27" s="8" t="s">
        <v>49</v>
      </c>
      <c r="C27" s="28">
        <v>30.05</v>
      </c>
      <c r="D27" s="23">
        <v>0</v>
      </c>
      <c r="E27" s="24">
        <f t="shared" si="0"/>
        <v>30.05</v>
      </c>
      <c r="F27" s="9" t="s">
        <v>43</v>
      </c>
    </row>
    <row r="28" spans="2:18">
      <c r="B28" s="8" t="s">
        <v>49</v>
      </c>
      <c r="C28" s="28">
        <v>36.01</v>
      </c>
      <c r="D28" s="23">
        <v>0</v>
      </c>
      <c r="E28" s="24">
        <f t="shared" si="0"/>
        <v>36.01</v>
      </c>
      <c r="F28" s="9" t="s">
        <v>43</v>
      </c>
    </row>
    <row r="29" spans="2:18">
      <c r="B29" s="8" t="s">
        <v>45</v>
      </c>
      <c r="C29" s="23">
        <v>-8.0500000000000007</v>
      </c>
      <c r="D29" s="23">
        <v>0</v>
      </c>
      <c r="E29" s="24">
        <f t="shared" si="0"/>
        <v>-8.0500000000000007</v>
      </c>
      <c r="F29" s="9" t="s">
        <v>50</v>
      </c>
    </row>
    <row r="30" spans="2:18">
      <c r="B30" s="8" t="s">
        <v>47</v>
      </c>
      <c r="C30" s="23">
        <v>4</v>
      </c>
      <c r="D30" s="23">
        <v>0.01</v>
      </c>
      <c r="E30" s="23">
        <f>(C30+D30)</f>
        <v>4.01</v>
      </c>
      <c r="F30" s="9" t="s">
        <v>43</v>
      </c>
    </row>
    <row r="31" spans="2:18">
      <c r="B31" s="10" t="s">
        <v>47</v>
      </c>
      <c r="C31" s="34">
        <v>-8.4440000000000008</v>
      </c>
      <c r="D31" s="34">
        <f>-C31*6%</f>
        <v>0.50663999999999998</v>
      </c>
      <c r="E31" s="34">
        <f>(C31+D31)</f>
        <v>-7.9373600000000009</v>
      </c>
      <c r="F31" s="12" t="s">
        <v>50</v>
      </c>
    </row>
    <row r="33" spans="2:22">
      <c r="B33" s="5" t="s">
        <v>56</v>
      </c>
      <c r="C33" s="6"/>
      <c r="D33" s="6"/>
      <c r="E33" s="6"/>
      <c r="F33" s="6"/>
      <c r="G33" s="6"/>
      <c r="H33" s="6"/>
      <c r="I33" s="6"/>
      <c r="J33" s="6"/>
      <c r="K33" s="7"/>
      <c r="L33" t="s">
        <v>57</v>
      </c>
      <c r="M33" t="s">
        <v>58</v>
      </c>
      <c r="N33" t="s">
        <v>38</v>
      </c>
    </row>
    <row r="34" spans="2:22">
      <c r="B34" s="8"/>
      <c r="C34" t="s">
        <v>59</v>
      </c>
      <c r="D34" t="s">
        <v>60</v>
      </c>
      <c r="E34" t="s">
        <v>61</v>
      </c>
      <c r="F34" t="s">
        <v>62</v>
      </c>
      <c r="G34" t="s">
        <v>63</v>
      </c>
      <c r="H34" s="13" t="s">
        <v>64</v>
      </c>
      <c r="I34" t="s">
        <v>65</v>
      </c>
      <c r="J34" t="s">
        <v>5</v>
      </c>
      <c r="K34" s="9" t="s">
        <v>66</v>
      </c>
    </row>
    <row r="35" spans="2:22">
      <c r="B35" s="8" t="s">
        <v>42</v>
      </c>
      <c r="C35">
        <v>6.2539999999999996</v>
      </c>
      <c r="D35">
        <f>$H$2</f>
        <v>734</v>
      </c>
      <c r="E35">
        <f t="shared" ref="E35:E41" si="1">C35*D35</f>
        <v>4590.4359999999997</v>
      </c>
      <c r="F35" s="35">
        <f t="shared" ref="F35:F41" si="2">E35*$N$5</f>
        <v>3672.3487999999998</v>
      </c>
      <c r="G35" s="23">
        <v>3.5</v>
      </c>
      <c r="H35" s="36">
        <f>G51</f>
        <v>1.5615590400000001</v>
      </c>
      <c r="I35" s="24">
        <f t="shared" ref="I35:I42" si="3">((F35-H35*D35)*$J$3-G35)</f>
        <v>13.179587967320696</v>
      </c>
      <c r="J35">
        <v>1</v>
      </c>
      <c r="K35" s="37">
        <f t="shared" ref="K35:K41" si="4">I35*J35</f>
        <v>13.179587967320696</v>
      </c>
      <c r="L35" s="38">
        <v>33.5</v>
      </c>
      <c r="M35" s="38">
        <f t="shared" ref="M35:M41" si="5">L35*J35</f>
        <v>33.5</v>
      </c>
    </row>
    <row r="36" spans="2:22">
      <c r="B36" s="8" t="s">
        <v>45</v>
      </c>
      <c r="C36">
        <v>0.96599999999999997</v>
      </c>
      <c r="D36">
        <f>$H$2</f>
        <v>734</v>
      </c>
      <c r="E36">
        <f t="shared" si="1"/>
        <v>709.04399999999998</v>
      </c>
      <c r="F36" s="35">
        <f t="shared" si="2"/>
        <v>567.23519999999996</v>
      </c>
      <c r="G36" s="23">
        <v>3.5</v>
      </c>
      <c r="H36" s="36">
        <f>G52</f>
        <v>0.21337130135885166</v>
      </c>
      <c r="I36" s="24">
        <f t="shared" si="3"/>
        <v>-0.78878163094944886</v>
      </c>
      <c r="J36">
        <v>1</v>
      </c>
      <c r="K36" s="37">
        <f t="shared" si="4"/>
        <v>-0.78878163094944886</v>
      </c>
      <c r="L36" s="38">
        <v>8.4</v>
      </c>
      <c r="M36" s="38">
        <f t="shared" si="5"/>
        <v>8.4</v>
      </c>
    </row>
    <row r="37" spans="2:22">
      <c r="B37" s="8" t="s">
        <v>47</v>
      </c>
      <c r="C37">
        <v>0.85099999999999998</v>
      </c>
      <c r="D37">
        <f>$H$2</f>
        <v>734</v>
      </c>
      <c r="E37">
        <f t="shared" si="1"/>
        <v>624.63400000000001</v>
      </c>
      <c r="F37" s="35">
        <f t="shared" si="2"/>
        <v>499.70720000000006</v>
      </c>
      <c r="G37" s="23">
        <v>3.5</v>
      </c>
      <c r="H37" s="36">
        <f>G53</f>
        <v>0.18479602162162162</v>
      </c>
      <c r="I37" s="24">
        <f t="shared" si="3"/>
        <v>-1.0961635494066191</v>
      </c>
      <c r="J37">
        <v>1</v>
      </c>
      <c r="K37" s="37">
        <f t="shared" si="4"/>
        <v>-1.0961635494066191</v>
      </c>
      <c r="L37" s="38">
        <v>6.81</v>
      </c>
      <c r="M37" s="38">
        <f t="shared" si="5"/>
        <v>6.81</v>
      </c>
    </row>
    <row r="38" spans="2:22">
      <c r="B38" s="8" t="s">
        <v>47</v>
      </c>
      <c r="C38">
        <v>0.85099999999999998</v>
      </c>
      <c r="D38">
        <f>$H$2-34</f>
        <v>700</v>
      </c>
      <c r="E38">
        <f t="shared" si="1"/>
        <v>595.69999999999993</v>
      </c>
      <c r="F38" s="35">
        <f t="shared" si="2"/>
        <v>476.55999999999995</v>
      </c>
      <c r="G38" s="23">
        <v>0</v>
      </c>
      <c r="H38" s="36">
        <f>G53</f>
        <v>0.18479602162162162</v>
      </c>
      <c r="I38" s="24">
        <f t="shared" si="3"/>
        <v>2.2924870782225697</v>
      </c>
      <c r="J38">
        <v>3</v>
      </c>
      <c r="K38" s="37">
        <f t="shared" si="4"/>
        <v>6.8774612346677095</v>
      </c>
      <c r="L38" s="38">
        <f>L37</f>
        <v>6.81</v>
      </c>
      <c r="M38" s="38">
        <f t="shared" si="5"/>
        <v>20.43</v>
      </c>
    </row>
    <row r="39" spans="2:22">
      <c r="B39" s="8" t="s">
        <v>47</v>
      </c>
      <c r="C39">
        <v>0.85099999999999998</v>
      </c>
      <c r="D39">
        <f>$H$2-34-58</f>
        <v>642</v>
      </c>
      <c r="E39">
        <f t="shared" si="1"/>
        <v>546.34199999999998</v>
      </c>
      <c r="F39" s="35">
        <f t="shared" si="2"/>
        <v>437.0736</v>
      </c>
      <c r="G39" s="23">
        <v>0</v>
      </c>
      <c r="H39" s="36">
        <f>H38</f>
        <v>0.18479602162162162</v>
      </c>
      <c r="I39" s="24">
        <f t="shared" si="3"/>
        <v>2.1025381488841286</v>
      </c>
      <c r="J39">
        <v>1</v>
      </c>
      <c r="K39" s="37">
        <f t="shared" si="4"/>
        <v>2.1025381488841286</v>
      </c>
      <c r="L39" s="38">
        <f>L38</f>
        <v>6.81</v>
      </c>
      <c r="M39" s="38">
        <f t="shared" si="5"/>
        <v>6.81</v>
      </c>
    </row>
    <row r="40" spans="2:22">
      <c r="B40" s="8" t="s">
        <v>47</v>
      </c>
      <c r="C40">
        <v>0.85099999999999998</v>
      </c>
      <c r="D40">
        <f>$H$2-140</f>
        <v>594</v>
      </c>
      <c r="E40">
        <f t="shared" si="1"/>
        <v>505.49399999999997</v>
      </c>
      <c r="F40" s="35">
        <f t="shared" si="2"/>
        <v>404.39519999999999</v>
      </c>
      <c r="G40" s="23">
        <v>0</v>
      </c>
      <c r="H40" s="36">
        <f>H39</f>
        <v>0.18479602162162162</v>
      </c>
      <c r="I40" s="24">
        <f t="shared" si="3"/>
        <v>1.9453390349488664</v>
      </c>
      <c r="J40">
        <v>1</v>
      </c>
      <c r="K40" s="37">
        <f t="shared" si="4"/>
        <v>1.9453390349488664</v>
      </c>
      <c r="L40" s="38">
        <f>L39</f>
        <v>6.81</v>
      </c>
      <c r="M40" s="38">
        <f t="shared" si="5"/>
        <v>6.81</v>
      </c>
    </row>
    <row r="41" spans="2:22">
      <c r="B41" s="15" t="s">
        <v>45</v>
      </c>
      <c r="C41" s="16">
        <v>0.96599999999999997</v>
      </c>
      <c r="D41" s="16">
        <v>70</v>
      </c>
      <c r="E41" s="16">
        <f t="shared" si="1"/>
        <v>67.62</v>
      </c>
      <c r="F41" s="17">
        <f t="shared" si="2"/>
        <v>54.096000000000004</v>
      </c>
      <c r="G41" s="39">
        <v>0</v>
      </c>
      <c r="H41" s="40">
        <f>H36</f>
        <v>0.21337130135885166</v>
      </c>
      <c r="I41" s="39">
        <f t="shared" si="3"/>
        <v>0.25856305971871746</v>
      </c>
      <c r="J41" s="16">
        <v>1</v>
      </c>
      <c r="K41" s="41">
        <f t="shared" si="4"/>
        <v>0.25856305971871746</v>
      </c>
      <c r="L41" s="42">
        <v>0</v>
      </c>
      <c r="M41" s="42">
        <f t="shared" si="5"/>
        <v>0</v>
      </c>
      <c r="N41" t="s">
        <v>67</v>
      </c>
    </row>
    <row r="42" spans="2:22">
      <c r="B42" s="15" t="s">
        <v>47</v>
      </c>
      <c r="C42" s="16">
        <v>0.85099999999999998</v>
      </c>
      <c r="D42" s="16">
        <f>440</f>
        <v>440</v>
      </c>
      <c r="E42" s="16">
        <f>(C42*D42)</f>
        <v>374.44</v>
      </c>
      <c r="F42" s="17">
        <f>(E42*$N$5)</f>
        <v>299.55200000000002</v>
      </c>
      <c r="G42" s="39">
        <v>0</v>
      </c>
      <c r="H42" s="40">
        <f>(H38)</f>
        <v>0.18479602162162162</v>
      </c>
      <c r="I42" s="39">
        <f t="shared" si="3"/>
        <v>1.4409918777399013</v>
      </c>
      <c r="J42" s="16">
        <v>1</v>
      </c>
      <c r="K42" s="41">
        <f>(I42*J42)</f>
        <v>1.4409918777399013</v>
      </c>
      <c r="L42" s="42">
        <v>0</v>
      </c>
      <c r="M42" s="42">
        <f>(L42*J42)</f>
        <v>0</v>
      </c>
      <c r="N42" t="s">
        <v>67</v>
      </c>
    </row>
    <row r="43" spans="2:22">
      <c r="B43" s="8" t="s">
        <v>49</v>
      </c>
      <c r="H43" s="21"/>
      <c r="J43">
        <v>2</v>
      </c>
      <c r="K43" s="37"/>
      <c r="L43" s="38">
        <v>13</v>
      </c>
      <c r="M43" s="38">
        <f>L43*J43</f>
        <v>26</v>
      </c>
    </row>
    <row r="44" spans="2:22">
      <c r="B44" s="8" t="s">
        <v>68</v>
      </c>
      <c r="J44">
        <v>1</v>
      </c>
      <c r="K44" s="9"/>
      <c r="L44" s="38">
        <v>0.4</v>
      </c>
      <c r="M44" s="38">
        <f>(L44*J44)</f>
        <v>0.4</v>
      </c>
    </row>
    <row r="45" spans="2:22">
      <c r="B45" s="8" t="s">
        <v>69</v>
      </c>
      <c r="J45">
        <v>1</v>
      </c>
      <c r="K45" s="9"/>
      <c r="L45" s="38">
        <v>0.35</v>
      </c>
      <c r="M45" s="38">
        <f>(L45*J45)</f>
        <v>0.35</v>
      </c>
    </row>
    <row r="46" spans="2:22">
      <c r="B46" s="10" t="s">
        <v>70</v>
      </c>
      <c r="C46" s="11"/>
      <c r="D46" s="11"/>
      <c r="E46" s="11"/>
      <c r="F46" s="11"/>
      <c r="G46" s="11"/>
      <c r="H46" s="11"/>
      <c r="I46" s="11"/>
      <c r="J46" s="11">
        <v>1</v>
      </c>
      <c r="K46" s="12"/>
      <c r="L46" s="38">
        <v>1.5</v>
      </c>
      <c r="M46" s="38">
        <f>(L46*J46)</f>
        <v>1.5</v>
      </c>
      <c r="V46" s="24"/>
    </row>
    <row r="47" spans="2:22">
      <c r="L47" t="s">
        <v>37</v>
      </c>
      <c r="M47" s="38">
        <f>(SUM(M34:M46))</f>
        <v>111.01</v>
      </c>
      <c r="O47" s="38">
        <f>(J13+SUM(G35:G41)-D77)</f>
        <v>1.9464036536267706</v>
      </c>
      <c r="P47">
        <f>(O47/J3)</f>
        <v>294.78760226396867</v>
      </c>
    </row>
    <row r="49" spans="2:7">
      <c r="B49" s="18" t="s">
        <v>64</v>
      </c>
      <c r="C49" s="6"/>
      <c r="D49" s="6"/>
      <c r="E49" s="6"/>
      <c r="F49" s="6"/>
      <c r="G49" s="7"/>
    </row>
    <row r="50" spans="2:7">
      <c r="B50" s="8"/>
      <c r="C50" t="s">
        <v>71</v>
      </c>
      <c r="D50" t="s">
        <v>72</v>
      </c>
      <c r="E50" t="s">
        <v>73</v>
      </c>
      <c r="F50" t="s">
        <v>74</v>
      </c>
      <c r="G50" s="9" t="s">
        <v>75</v>
      </c>
    </row>
    <row r="51" spans="2:7">
      <c r="B51" s="8" t="s">
        <v>42</v>
      </c>
      <c r="C51">
        <f>0.12*60*24</f>
        <v>172.79999999999998</v>
      </c>
      <c r="D51">
        <f>0.2*60*24</f>
        <v>288</v>
      </c>
      <c r="E51">
        <f>0.15*60*24</f>
        <v>216</v>
      </c>
      <c r="F51">
        <f>0.21*60*24</f>
        <v>302.39999999999998</v>
      </c>
      <c r="G51" s="43">
        <f>(C51*$J$4+D51*$J$5+E51*$J$6+F51*$J$7)</f>
        <v>1.5615590400000001</v>
      </c>
    </row>
    <row r="52" spans="2:7">
      <c r="B52" s="8" t="s">
        <v>45</v>
      </c>
      <c r="C52">
        <f>24/(1+1/24)</f>
        <v>23.04</v>
      </c>
      <c r="D52" s="19">
        <f>126/(3+5/24)</f>
        <v>39.272727272727273</v>
      </c>
      <c r="E52" s="19">
        <f>46/(38/24)</f>
        <v>29.05263157894737</v>
      </c>
      <c r="F52">
        <v>42</v>
      </c>
      <c r="G52" s="43">
        <f>(C52*$J$4+D52*$J$5+E52*$J$6+F52*$J$7)</f>
        <v>0.21337130135885166</v>
      </c>
    </row>
    <row r="53" spans="2:7">
      <c r="B53" s="8" t="s">
        <v>47</v>
      </c>
      <c r="C53">
        <f>21</f>
        <v>21</v>
      </c>
      <c r="D53" s="19">
        <f>87/3.33</f>
        <v>26.126126126126124</v>
      </c>
      <c r="E53">
        <f>74/2</f>
        <v>37</v>
      </c>
      <c r="F53">
        <v>36</v>
      </c>
      <c r="G53" s="43">
        <f>(C53*$J$4+D53*$J$5+E53*$J$6+F53*$J$7)</f>
        <v>0.18479602162162162</v>
      </c>
    </row>
    <row r="54" spans="2:7">
      <c r="B54" s="10" t="s">
        <v>49</v>
      </c>
      <c r="C54" s="11"/>
      <c r="D54" s="11"/>
      <c r="E54" s="11"/>
      <c r="F54" s="11"/>
      <c r="G54" s="12"/>
    </row>
    <row r="56" spans="2:7">
      <c r="B56" s="5" t="s">
        <v>76</v>
      </c>
      <c r="C56" s="6" t="s">
        <v>77</v>
      </c>
      <c r="D56" s="7" t="s">
        <v>78</v>
      </c>
    </row>
    <row r="57" spans="2:7">
      <c r="B57" s="8"/>
      <c r="C57" s="19">
        <v>138</v>
      </c>
      <c r="D57" s="9"/>
    </row>
    <row r="58" spans="2:7">
      <c r="B58" s="8"/>
      <c r="C58" s="19">
        <v>330</v>
      </c>
      <c r="D58" s="9"/>
    </row>
    <row r="59" spans="2:7">
      <c r="B59" s="8"/>
      <c r="C59" s="19">
        <v>327.51919355000001</v>
      </c>
      <c r="D59" s="9"/>
    </row>
    <row r="60" spans="2:7">
      <c r="B60" s="8"/>
      <c r="C60" s="19">
        <v>113.54742468000001</v>
      </c>
      <c r="D60" s="44">
        <v>1.1399999999999999</v>
      </c>
      <c r="E60" s="31">
        <f t="shared" ref="E60:E67" si="6">D60/C60</f>
        <v>1.0039857823396298E-2</v>
      </c>
    </row>
    <row r="61" spans="2:7">
      <c r="B61" s="8"/>
      <c r="C61" s="19">
        <v>130.53974622000001</v>
      </c>
      <c r="D61" s="44">
        <v>1.1793119999999999</v>
      </c>
      <c r="E61" s="31">
        <f t="shared" si="6"/>
        <v>9.0341220520874389E-3</v>
      </c>
    </row>
    <row r="62" spans="2:7">
      <c r="B62" s="8"/>
      <c r="C62" s="19">
        <v>167.40487411999999</v>
      </c>
      <c r="D62" s="44">
        <v>1.05481</v>
      </c>
      <c r="E62" s="31">
        <f t="shared" si="6"/>
        <v>6.3009515436443378E-3</v>
      </c>
    </row>
    <row r="63" spans="2:7">
      <c r="B63" s="8"/>
      <c r="C63" s="19">
        <v>167.96827999999999</v>
      </c>
      <c r="D63" s="44">
        <f>1.0512-0.00017</f>
        <v>1.0510299999999999</v>
      </c>
      <c r="E63" s="31">
        <f t="shared" si="6"/>
        <v>6.2573123925541178E-3</v>
      </c>
    </row>
    <row r="64" spans="2:7">
      <c r="B64" s="8"/>
      <c r="C64" s="19">
        <v>123.66</v>
      </c>
      <c r="D64" s="44">
        <v>1.0489999999999999</v>
      </c>
      <c r="E64" s="31">
        <f t="shared" si="6"/>
        <v>8.4829370855571719E-3</v>
      </c>
    </row>
    <row r="65" spans="2:5">
      <c r="B65" s="8"/>
      <c r="C65" s="19">
        <v>149.5</v>
      </c>
      <c r="D65" s="44">
        <v>1.17</v>
      </c>
      <c r="E65" s="31">
        <f t="shared" si="6"/>
        <v>7.826086956521738E-3</v>
      </c>
    </row>
    <row r="66" spans="2:5">
      <c r="B66" s="8"/>
      <c r="C66" s="19">
        <v>170.62</v>
      </c>
      <c r="D66" s="44">
        <v>1.1579999999999999</v>
      </c>
      <c r="E66" s="31">
        <f t="shared" si="6"/>
        <v>6.7870120736138783E-3</v>
      </c>
    </row>
    <row r="67" spans="2:5">
      <c r="B67" s="8"/>
      <c r="C67" s="19">
        <v>192.66</v>
      </c>
      <c r="D67" s="44">
        <v>1.0900000000000001</v>
      </c>
      <c r="E67" s="31">
        <f t="shared" si="6"/>
        <v>5.6576352122910834E-3</v>
      </c>
    </row>
    <row r="68" spans="2:5">
      <c r="B68" s="8"/>
      <c r="C68" s="19">
        <v>257.33999999999997</v>
      </c>
      <c r="D68" s="44">
        <v>1.1299999999999999</v>
      </c>
      <c r="E68" s="31">
        <f t="shared" ref="E68:E74" si="7">(D68/C68)</f>
        <v>4.3910779513484108E-3</v>
      </c>
    </row>
    <row r="69" spans="2:5">
      <c r="B69" s="8"/>
      <c r="C69" s="19">
        <v>312.13</v>
      </c>
      <c r="D69" s="44">
        <v>0.82</v>
      </c>
      <c r="E69" s="31">
        <f t="shared" si="7"/>
        <v>2.6271104988306155E-3</v>
      </c>
    </row>
    <row r="70" spans="2:5">
      <c r="B70" s="8"/>
      <c r="C70" s="19">
        <v>352.46100000000001</v>
      </c>
      <c r="D70" s="44">
        <v>1.2074</v>
      </c>
      <c r="E70" s="31">
        <f t="shared" si="7"/>
        <v>3.4256272325165053E-3</v>
      </c>
    </row>
    <row r="71" spans="2:5">
      <c r="B71" s="8"/>
      <c r="C71" s="19">
        <v>263.04000000000002</v>
      </c>
      <c r="D71" s="44">
        <v>1.0588</v>
      </c>
      <c r="E71" s="31">
        <f t="shared" si="7"/>
        <v>4.0252433090024325E-3</v>
      </c>
    </row>
    <row r="72" spans="2:5">
      <c r="B72" s="8"/>
      <c r="C72" s="19">
        <v>359.00495999999998</v>
      </c>
      <c r="D72" s="44">
        <v>1.1194999999999999</v>
      </c>
      <c r="E72" s="31">
        <f t="shared" si="7"/>
        <v>3.1183413176241355E-3</v>
      </c>
    </row>
    <row r="73" spans="2:5">
      <c r="B73" s="8"/>
      <c r="C73" s="19">
        <v>327.91</v>
      </c>
      <c r="D73" s="44">
        <v>1.0785</v>
      </c>
      <c r="E73" s="31">
        <f t="shared" si="7"/>
        <v>3.2890122289652647E-3</v>
      </c>
    </row>
    <row r="74" spans="2:5">
      <c r="B74" s="8"/>
      <c r="C74" s="19">
        <v>925.39</v>
      </c>
      <c r="D74" s="44">
        <v>3.1734</v>
      </c>
      <c r="E74" s="31">
        <f t="shared" si="7"/>
        <v>3.4292568538670182E-3</v>
      </c>
    </row>
    <row r="75" spans="2:5">
      <c r="B75" s="8"/>
      <c r="C75" s="19">
        <v>109.44</v>
      </c>
      <c r="D75" s="44"/>
      <c r="E75" s="31"/>
    </row>
    <row r="76" spans="2:5">
      <c r="B76" s="10"/>
      <c r="C76" s="11"/>
      <c r="D76" s="12"/>
    </row>
    <row r="77" spans="2:5">
      <c r="B77" t="s">
        <v>37</v>
      </c>
      <c r="C77" s="19">
        <f>(SUM(C57:C76))</f>
        <v>4918.1354785700005</v>
      </c>
      <c r="D77" s="23">
        <f>(SUM(D57:D76))</f>
        <v>18.479751999999998</v>
      </c>
    </row>
  </sheetData>
  <conditionalFormatting sqref="L35">
    <cfRule type="cellIs" dxfId="265" priority="17" operator="lessThan">
      <formula>$C$5</formula>
    </cfRule>
    <cfRule type="cellIs" dxfId="264" priority="18" operator="greaterThan">
      <formula>$C$5</formula>
    </cfRule>
  </conditionalFormatting>
  <conditionalFormatting sqref="L36">
    <cfRule type="cellIs" dxfId="263" priority="15" operator="lessThan">
      <formula>$C$6</formula>
    </cfRule>
    <cfRule type="cellIs" dxfId="262" priority="16" operator="greaterThan">
      <formula>$C$6</formula>
    </cfRule>
  </conditionalFormatting>
  <conditionalFormatting sqref="L40">
    <cfRule type="cellIs" dxfId="261" priority="13" operator="lessThan">
      <formula>$C$20</formula>
    </cfRule>
    <cfRule type="cellIs" dxfId="260" priority="14" operator="greaterThan">
      <formula>$C$20</formula>
    </cfRule>
  </conditionalFormatting>
  <conditionalFormatting sqref="L39">
    <cfRule type="cellIs" dxfId="259" priority="11" operator="lessThan">
      <formula>$C$19</formula>
    </cfRule>
    <cfRule type="cellIs" dxfId="258" priority="12" operator="greaterThan">
      <formula>$C$19</formula>
    </cfRule>
  </conditionalFormatting>
  <conditionalFormatting sqref="L38">
    <cfRule type="cellIs" dxfId="257" priority="9" operator="lessThan">
      <formula>$C$17</formula>
    </cfRule>
    <cfRule type="cellIs" dxfId="256" priority="10" operator="greaterThan">
      <formula>$C$17</formula>
    </cfRule>
  </conditionalFormatting>
  <conditionalFormatting sqref="L37">
    <cfRule type="cellIs" dxfId="255" priority="7" operator="lessThan">
      <formula>$C$7</formula>
    </cfRule>
    <cfRule type="cellIs" dxfId="254" priority="8" operator="greaterThan">
      <formula>$C$7</formula>
    </cfRule>
  </conditionalFormatting>
  <conditionalFormatting sqref="L43">
    <cfRule type="cellIs" dxfId="253" priority="3" operator="lessThan">
      <formula>$C$27</formula>
    </cfRule>
    <cfRule type="cellIs" dxfId="252" priority="4" operator="greaterThan">
      <formula>$C$27</formula>
    </cfRule>
  </conditionalFormatting>
  <conditionalFormatting sqref="L44:L46">
    <cfRule type="cellIs" dxfId="251" priority="1" operator="lessThan">
      <formula>$C$7</formula>
    </cfRule>
    <cfRule type="cellIs" dxfId="250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cols>
    <col min="3" max="3" width="9.7109375" style="14" bestFit="1" customWidth="1"/>
  </cols>
  <sheetData>
    <row r="3" spans="2:4">
      <c r="C3" t="s">
        <v>6</v>
      </c>
      <c r="D3" t="s">
        <v>36</v>
      </c>
    </row>
    <row r="4" spans="2:4">
      <c r="B4" t="s">
        <v>79</v>
      </c>
      <c r="C4" s="23">
        <f>(-310/3)</f>
        <v>-103.33333333333333</v>
      </c>
      <c r="D4" s="23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Z41" sqref="Z41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80</v>
      </c>
      <c r="D4" t="s">
        <v>6</v>
      </c>
      <c r="E4" t="s">
        <v>37</v>
      </c>
    </row>
    <row r="5" spans="2:7">
      <c r="B5" t="s">
        <v>81</v>
      </c>
      <c r="C5">
        <f>1.76*G3</f>
        <v>123.2</v>
      </c>
      <c r="D5" s="25">
        <v>0.01</v>
      </c>
      <c r="E5" s="25">
        <f>C5*D5</f>
        <v>1.232</v>
      </c>
    </row>
    <row r="6" spans="2:7">
      <c r="B6" t="s">
        <v>82</v>
      </c>
      <c r="C6">
        <f>48*(G3-2)</f>
        <v>3264</v>
      </c>
      <c r="D6" s="25">
        <v>1.4239999999999999E-4</v>
      </c>
      <c r="E6" s="25">
        <f>C6*D6</f>
        <v>0.46479359999999997</v>
      </c>
    </row>
    <row r="9" spans="2:7">
      <c r="E9" s="25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2:U21"/>
  <sheetViews>
    <sheetView workbookViewId="0">
      <selection activeCell="G40" sqref="G40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5" width="10.5703125" style="14" bestFit="1" customWidth="1"/>
    <col min="6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55" width="9.140625" style="14" customWidth="1"/>
    <col min="56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13.452485424154</v>
      </c>
      <c r="M3" t="s">
        <v>4</v>
      </c>
      <c r="N3" s="26">
        <f>(INDEX(N5:N21,MATCH(MAX(O6:O8),O5:O21,0))/0.9)</f>
        <v>0.13208747777777777</v>
      </c>
      <c r="O3" s="24">
        <f>(MAX(O6:O8)*0.85)</f>
        <v>7.48</v>
      </c>
      <c r="P3" s="45">
        <f>(O3*N3)</f>
        <v>0.98801433377777781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(B13*J3)</f>
        <v>4.222006588031368</v>
      </c>
      <c r="K4" s="4">
        <f>(J4/D13-1)</f>
        <v>-3.6022808740736973</v>
      </c>
      <c r="R4" t="s">
        <v>5</v>
      </c>
      <c r="S4" t="s">
        <v>6</v>
      </c>
      <c r="T4" t="s">
        <v>7</v>
      </c>
    </row>
    <row r="5" spans="2:21">
      <c r="B5" s="1">
        <f>0.31383979+0.28055386</f>
        <v>0.59439365</v>
      </c>
      <c r="C5" s="23">
        <f>4</f>
        <v>4</v>
      </c>
      <c r="D5" s="23">
        <f>C5*B5</f>
        <v>2.3775746</v>
      </c>
      <c r="M5" t="s">
        <v>15</v>
      </c>
      <c r="N5" t="s">
        <v>32</v>
      </c>
      <c r="O5" t="s">
        <v>1</v>
      </c>
      <c r="P5" t="s">
        <v>2</v>
      </c>
      <c r="R5" s="1">
        <f>B5</f>
        <v>0.59439365</v>
      </c>
      <c r="S5" s="23">
        <f>(T5/R5)</f>
        <v>4</v>
      </c>
      <c r="T5" s="23">
        <f>D5</f>
        <v>2.3775746</v>
      </c>
    </row>
    <row r="6" spans="2:21">
      <c r="B6" s="2">
        <v>6.0499999999999997E-6</v>
      </c>
      <c r="C6" s="28">
        <v>0</v>
      </c>
      <c r="D6" s="28">
        <f>(B6*C6)</f>
        <v>0</v>
      </c>
      <c r="E6" s="23">
        <f>(B6*J3)</f>
        <v>8.1387536816131693E-5</v>
      </c>
      <c r="M6" t="s">
        <v>11</v>
      </c>
      <c r="N6" s="1">
        <f>$B$5/5</f>
        <v>0.11887873</v>
      </c>
      <c r="O6" s="23">
        <f>($C$5*[1]Params!K8)</f>
        <v>5.2</v>
      </c>
      <c r="P6" s="23">
        <f>O6*N6</f>
        <v>0.61816939599999998</v>
      </c>
      <c r="Q6" t="s">
        <v>12</v>
      </c>
      <c r="R6" s="2">
        <f>(B6)</f>
        <v>6.0499999999999997E-6</v>
      </c>
      <c r="S6" s="28">
        <v>0</v>
      </c>
      <c r="T6" s="28">
        <f>(D6)</f>
        <v>0</v>
      </c>
      <c r="U6" s="23">
        <f>(R6*J3)</f>
        <v>8.1387536816131693E-5</v>
      </c>
    </row>
    <row r="7" spans="2:21">
      <c r="B7" s="1">
        <v>-0.28055385999999999</v>
      </c>
      <c r="C7" s="23">
        <f>D7/B7</f>
        <v>14.257511908765041</v>
      </c>
      <c r="D7" s="23">
        <v>-4</v>
      </c>
      <c r="N7" s="1">
        <f>$B$5/5</f>
        <v>0.11887873</v>
      </c>
      <c r="O7" s="23">
        <f>($C$5*[1]Params!K9)</f>
        <v>6.4</v>
      </c>
      <c r="P7" s="23">
        <f>O7*N7</f>
        <v>0.76082387200000001</v>
      </c>
      <c r="Q7" t="s">
        <v>12</v>
      </c>
      <c r="R7" s="35"/>
      <c r="S7" s="23"/>
      <c r="T7" s="23"/>
    </row>
    <row r="8" spans="2:21">
      <c r="B8" s="1"/>
      <c r="C8" s="23"/>
      <c r="D8" s="23"/>
      <c r="N8" s="1">
        <f>$B$5/5</f>
        <v>0.11887873</v>
      </c>
      <c r="O8" s="23">
        <f>($C$5*[1]Params!K10)</f>
        <v>8.8000000000000007</v>
      </c>
      <c r="P8" s="23">
        <f>(O8*N8)</f>
        <v>1.0461328240000001</v>
      </c>
      <c r="Q8" t="s">
        <v>12</v>
      </c>
      <c r="R8" s="1"/>
      <c r="S8" s="23"/>
      <c r="T8" s="23"/>
    </row>
    <row r="9" spans="2:21">
      <c r="B9" s="1"/>
      <c r="C9" s="23"/>
      <c r="D9" s="23"/>
      <c r="N9" s="1">
        <f>($B$13-B7)/5</f>
        <v>0.11887993999999999</v>
      </c>
      <c r="O9" s="23">
        <f>($C$5*[1]Params!K11)</f>
        <v>20</v>
      </c>
      <c r="P9" s="23">
        <f>(O9*N9)</f>
        <v>2.3775987999999999</v>
      </c>
      <c r="R9" s="1"/>
      <c r="S9" s="24"/>
      <c r="T9" s="24"/>
    </row>
    <row r="10" spans="2:21">
      <c r="B10" s="1"/>
      <c r="C10" s="24"/>
      <c r="D10" s="23"/>
      <c r="N10" s="1"/>
      <c r="P10" s="23"/>
    </row>
    <row r="11" spans="2:21">
      <c r="B11" s="1"/>
      <c r="C11" s="24"/>
      <c r="D11" s="23"/>
      <c r="P11" s="23">
        <f>(SUM(P6:P9))</f>
        <v>4.8027248920000005</v>
      </c>
    </row>
    <row r="12" spans="2:21">
      <c r="F12" t="s">
        <v>9</v>
      </c>
      <c r="G12" s="45">
        <f>(D13/B13)</f>
        <v>-5.1694978655762975</v>
      </c>
    </row>
    <row r="13" spans="2:21">
      <c r="B13" s="1">
        <f>(SUM(B5:B12))</f>
        <v>0.31384583999999999</v>
      </c>
      <c r="D13" s="23">
        <f>(SUM(D5:D12))</f>
        <v>-1.6224254</v>
      </c>
      <c r="R13" s="1">
        <f>(SUM(R5:R12))</f>
        <v>0.59439969999999998</v>
      </c>
      <c r="T13" s="23">
        <f>(SUM(T5:T12))</f>
        <v>2.3775746</v>
      </c>
    </row>
    <row r="18" spans="5:15">
      <c r="N18" s="1">
        <f>N6+N7+N8+B7</f>
        <v>7.6082330000000031E-2</v>
      </c>
      <c r="O18" s="24">
        <f>N18*J3</f>
        <v>1.023496435360675</v>
      </c>
    </row>
    <row r="21" spans="5:15">
      <c r="E21" s="46"/>
    </row>
  </sheetData>
  <conditionalFormatting sqref="C5 G12 S5">
    <cfRule type="cellIs" dxfId="249" priority="7" operator="lessThan">
      <formula>$J$3</formula>
    </cfRule>
    <cfRule type="cellIs" dxfId="248" priority="8" operator="greaterThan">
      <formula>$J$3</formula>
    </cfRule>
  </conditionalFormatting>
  <conditionalFormatting sqref="O9">
    <cfRule type="cellIs" dxfId="247" priority="5" operator="lessThan">
      <formula>$J$3</formula>
    </cfRule>
    <cfRule type="cellIs" dxfId="246" priority="6" operator="greaterThan">
      <formula>$J$3</formula>
    </cfRule>
  </conditionalFormatting>
  <conditionalFormatting sqref="O3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U13"/>
  <sheetViews>
    <sheetView workbookViewId="0">
      <selection activeCell="I15" sqref="I1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0.58727377322930063</v>
      </c>
      <c r="M3" t="s">
        <v>4</v>
      </c>
      <c r="N3" s="26">
        <f>(INDEX(N5:N21,MATCH(MAX(O6:O7),O5:O21,0))/0.9)</f>
        <v>25</v>
      </c>
      <c r="O3" s="24">
        <f>(MAX(O6:O7)*0.85)</f>
        <v>0.47791727405050299</v>
      </c>
      <c r="P3" s="45">
        <f>(O3*N3)</f>
        <v>11.947931851262576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(B13*J3)</f>
        <v>42.662300817100174</v>
      </c>
      <c r="K4" s="4">
        <f>(J4/D13-1)</f>
        <v>1.3699161606934398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23">
        <f>(D5/B5)</f>
        <v>0.25104143031116005</v>
      </c>
      <c r="D5" s="23">
        <v>0.5</v>
      </c>
      <c r="M5" t="s">
        <v>15</v>
      </c>
      <c r="N5" t="s">
        <v>32</v>
      </c>
      <c r="O5" t="s">
        <v>1</v>
      </c>
      <c r="P5" t="s">
        <v>2</v>
      </c>
      <c r="R5" s="1">
        <f>B5</f>
        <v>1.9917031199999999</v>
      </c>
      <c r="S5" s="23">
        <f>(T5/R5)</f>
        <v>0.25104143031116005</v>
      </c>
      <c r="T5" s="23">
        <f>D5</f>
        <v>0.5</v>
      </c>
    </row>
    <row r="6" spans="2:21">
      <c r="B6" s="2">
        <v>0.72271580000000002</v>
      </c>
      <c r="C6" s="28">
        <v>0</v>
      </c>
      <c r="D6" s="28">
        <f>(B6*C6)</f>
        <v>0</v>
      </c>
      <c r="E6" s="23">
        <f>(B6*J3)</f>
        <v>0.42443203483843261</v>
      </c>
      <c r="M6" t="s">
        <v>11</v>
      </c>
      <c r="N6" s="1">
        <f>-B10</f>
        <v>22.57</v>
      </c>
      <c r="O6" s="23">
        <f>P6/N6</f>
        <v>0.44671816437749229</v>
      </c>
      <c r="P6" s="23">
        <f>-D10</f>
        <v>10.08242897</v>
      </c>
      <c r="Q6" t="s">
        <v>12</v>
      </c>
      <c r="R6" s="2">
        <f>(B6)</f>
        <v>0.72271580000000002</v>
      </c>
      <c r="S6" s="28">
        <v>0</v>
      </c>
      <c r="T6" s="28">
        <f>(D6)</f>
        <v>0</v>
      </c>
      <c r="U6" s="23">
        <f>(R6*J3)</f>
        <v>0.42443203483843261</v>
      </c>
    </row>
    <row r="7" spans="2:21">
      <c r="B7" s="1">
        <v>114.35255029</v>
      </c>
      <c r="C7" s="23">
        <f>(D7/B7)</f>
        <v>0.34892094578400679</v>
      </c>
      <c r="D7" s="23">
        <v>39.9</v>
      </c>
      <c r="E7" t="s">
        <v>15</v>
      </c>
      <c r="N7" s="1">
        <f>-B11</f>
        <v>22.5</v>
      </c>
      <c r="O7" s="23">
        <f>($S$7*[1]Params!K9)</f>
        <v>0.56225561653000355</v>
      </c>
      <c r="P7" s="23">
        <f>-D11</f>
        <v>12.305999999999999</v>
      </c>
      <c r="Q7" t="s">
        <v>12</v>
      </c>
      <c r="R7" s="35">
        <f>B7+B10</f>
        <v>91.782550289999989</v>
      </c>
      <c r="S7" s="23">
        <f>(T7/R7)</f>
        <v>0.35140976033125221</v>
      </c>
      <c r="T7" s="23">
        <f>D7+B10*0.3388</f>
        <v>32.253284000000001</v>
      </c>
      <c r="U7" t="s">
        <v>15</v>
      </c>
    </row>
    <row r="8" spans="2:21">
      <c r="B8" s="1">
        <v>-3.1156999999999999</v>
      </c>
      <c r="C8" s="23">
        <f>(D8/B8)</f>
        <v>0.3241529704400295</v>
      </c>
      <c r="D8" s="23">
        <v>-1.0099634099999999</v>
      </c>
      <c r="N8" s="1">
        <f>3*($B$13-B11-B10)/5-N7-N6</f>
        <v>25.558793173999995</v>
      </c>
      <c r="O8" s="23">
        <f>($C$7*[1]Params!K10)</f>
        <v>0.76762608072481497</v>
      </c>
      <c r="P8" s="23">
        <f>(O8*N8)</f>
        <v>19.61959623221377</v>
      </c>
      <c r="R8" s="1">
        <f>(B8+B9)</f>
        <v>0.64768608000000016</v>
      </c>
      <c r="S8" s="23">
        <v>0</v>
      </c>
      <c r="T8" s="23">
        <f>D8+D9</f>
        <v>-9.9634099999998949E-3</v>
      </c>
    </row>
    <row r="9" spans="2:21">
      <c r="B9" s="1">
        <v>3.7633860800000001</v>
      </c>
      <c r="C9" s="23">
        <f>(D9/B9)</f>
        <v>0.26571815347735994</v>
      </c>
      <c r="D9" s="23">
        <v>1</v>
      </c>
      <c r="N9" s="1">
        <f>($B$13/5)</f>
        <v>14.528931058000001</v>
      </c>
      <c r="O9" s="23">
        <f>($C$7*[1]Params!K11)</f>
        <v>1.7446047289200339</v>
      </c>
      <c r="P9" s="23">
        <f>(O9*N9)</f>
        <v>25.347241829939954</v>
      </c>
      <c r="R9" s="1">
        <f>B10-B10</f>
        <v>0</v>
      </c>
      <c r="S9" s="24">
        <v>0</v>
      </c>
      <c r="T9" s="24">
        <f>D10-B10*0.3388</f>
        <v>-2.4357129700000009</v>
      </c>
    </row>
    <row r="10" spans="2:21">
      <c r="B10" s="1">
        <v>-22.57</v>
      </c>
      <c r="C10" s="24">
        <f>D10/B10</f>
        <v>0.44671816437749229</v>
      </c>
      <c r="D10" s="23">
        <v>-10.08242897</v>
      </c>
      <c r="N10" s="1"/>
      <c r="P10" s="23"/>
    </row>
    <row r="11" spans="2:21">
      <c r="B11" s="1">
        <v>-22.5</v>
      </c>
      <c r="C11" s="24">
        <f>D11/B11</f>
        <v>0.54693333333333327</v>
      </c>
      <c r="D11" s="23">
        <v>-12.305999999999999</v>
      </c>
      <c r="P11" s="23">
        <f>(SUM(P6:P9))</f>
        <v>67.355267032153733</v>
      </c>
    </row>
    <row r="12" spans="2:21">
      <c r="F12" t="s">
        <v>9</v>
      </c>
      <c r="G12" s="45">
        <f>(D13/B13)</f>
        <v>0.24780360713581687</v>
      </c>
    </row>
    <row r="13" spans="2:21">
      <c r="B13" s="1">
        <f>(SUM(B5:B12))</f>
        <v>72.644655290000003</v>
      </c>
      <c r="D13" s="23">
        <f>(SUM(D5:D12))</f>
        <v>18.001607620000001</v>
      </c>
      <c r="R13" s="1">
        <f>(SUM(R5:R12))</f>
        <v>95.144655289999989</v>
      </c>
      <c r="T13" s="23">
        <f>(SUM(T5:T12))</f>
        <v>30.307607620000002</v>
      </c>
    </row>
  </sheetData>
  <conditionalFormatting sqref="C5 C7 G12 S5 S7">
    <cfRule type="cellIs" dxfId="243" priority="19" operator="lessThan">
      <formula>$J$3</formula>
    </cfRule>
    <cfRule type="cellIs" dxfId="242" priority="20" operator="greaterThan">
      <formula>$J$3</formula>
    </cfRule>
  </conditionalFormatting>
  <conditionalFormatting sqref="O8:O9">
    <cfRule type="cellIs" dxfId="241" priority="15" operator="lessThan">
      <formula>$J$3</formula>
    </cfRule>
    <cfRule type="cellIs" dxfId="240" priority="16" operator="greaterThan">
      <formula>$J$3</formula>
    </cfRule>
  </conditionalFormatting>
  <conditionalFormatting sqref="C9">
    <cfRule type="cellIs" dxfId="239" priority="3" operator="lessThan">
      <formula>$J$3</formula>
    </cfRule>
    <cfRule type="cellIs" dxfId="238" priority="4" operator="greaterThan">
      <formula>$J$3</formula>
    </cfRule>
  </conditionalFormatting>
  <conditionalFormatting sqref="O3">
    <cfRule type="cellIs" dxfId="237" priority="1" operator="greaterThan">
      <formula>$J$3</formula>
    </cfRule>
    <cfRule type="cellIs" dxfId="236" priority="2" operator="less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39</vt:i4>
      </vt:variant>
    </vt:vector>
  </HeadingPairs>
  <TitlesOfParts>
    <vt:vector size="39" baseType="lpstr">
      <vt:lpstr>ETH</vt:lpstr>
      <vt:lpstr>BTC</vt:lpstr>
      <vt:lpstr>Cake</vt:lpstr>
      <vt:lpstr>POLIS</vt:lpstr>
      <vt:lpstr>ATLAS</vt:lpstr>
      <vt:lpstr>BIGTIME</vt:lpstr>
      <vt:lpstr>Ayman</vt:lpstr>
      <vt:lpstr>ACE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GRT</vt:lpstr>
      <vt:lpstr>ICP</vt:lpstr>
      <vt:lpstr>KAVA</vt:lpstr>
      <vt:lpstr>LDO</vt:lpstr>
      <vt:lpstr>LINK</vt:lpstr>
      <vt:lpstr>LTC</vt:lpstr>
      <vt:lpstr>LUNA</vt:lpstr>
      <vt:lpstr>LUNC</vt:lpstr>
      <vt:lpstr>MATIC</vt:lpstr>
      <vt:lpstr>MEME</vt:lpstr>
      <vt:lpstr>MINA</vt:lpstr>
      <vt:lpstr>NEAR</vt:lpstr>
      <vt:lpstr>SEI</vt:lpstr>
      <vt:lpstr>SHIB</vt:lpstr>
      <vt:lpstr>SHPING</vt:lpstr>
      <vt:lpstr>SOL</vt:lpstr>
      <vt:lpstr>TRX</vt:lpstr>
      <vt:lpstr>UNI</vt:lpstr>
      <vt:lpstr>XRP</vt:lpstr>
      <vt:lpstr>TIA</vt:lpstr>
      <vt:lpstr>DYDX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2023-12-21T00:28:13Z</dcterms:modified>
</cp:coreProperties>
</file>