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2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MP" sheetId="10" state="visible" r:id="rId10"/>
    <sheet name="APE" sheetId="11" state="visible" r:id="rId11"/>
    <sheet name="ATOM" sheetId="12" state="visible" r:id="rId12"/>
    <sheet name="AVAX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5" fontId="0" fillId="4" borderId="0" pivotButton="0" quotePrefix="0" xfId="0"/>
    <xf numFmtId="0" fontId="0" fillId="4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4" borderId="0" pivotButton="0" quotePrefix="0" xfId="1"/>
    <xf numFmtId="166" fontId="0" fillId="4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4" borderId="0" pivotButton="0" quotePrefix="0" xfId="1"/>
    <xf numFmtId="166" fontId="0" fillId="4" borderId="0" pivotButton="0" quotePrefix="0" xfId="0"/>
  </cellXfs>
  <cellStyles count="3">
    <cellStyle name="Normal" xfId="0" builtinId="0"/>
    <cellStyle name="Monétaire" xfId="1" builtinId="4"/>
    <cellStyle name="Pourcentage" xfId="2" builtinId="5"/>
  </cellStyles>
  <dxfs count="28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  <pt idx="204">
                  <v>41.4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  <pt idx="204">
                  <v>4.947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  <pt idx="204">
                  <v>267.6056338028169</v>
                </pt>
              </numCache>
            </numRef>
          </val>
        </ser>
        <marker val="1"/>
        <axId val="74976640"/>
        <axId val="75412992"/>
      </lineChart>
      <dateAx>
        <axId val="7497664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412992"/>
        <crosses val="autoZero"/>
        <lblOffset val="100"/>
      </dateAx>
      <valAx>
        <axId val="7541299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97664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0"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3465.126543523869</v>
      </c>
      <c r="M3" t="inlineStr">
        <is>
          <t>Objectif :</t>
        </is>
      </c>
      <c r="N3" s="23">
        <f>(INDEX(N5:N25,MATCH(MAX(O6,O14),O5:O25,0))/0.85)</f>
        <v/>
      </c>
      <c r="O3" s="64">
        <f>(MAX(O6,O14)*0.75)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64" t="n">
        <v>4000</v>
      </c>
      <c r="D5" s="65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4" t="n">
        <v>4000</v>
      </c>
      <c r="T5" s="65">
        <f>(R5*S5)</f>
        <v/>
      </c>
    </row>
    <row r="6">
      <c r="B6" s="23" t="n">
        <v>0.0005999999999999999</v>
      </c>
      <c r="C6" s="64" t="n">
        <v>3950</v>
      </c>
      <c r="D6" s="65">
        <f>B6*C6</f>
        <v/>
      </c>
      <c r="M6" t="inlineStr">
        <is>
          <t>Objectif</t>
        </is>
      </c>
      <c r="N6">
        <f>(-B39)</f>
        <v/>
      </c>
      <c r="O6" s="64">
        <f>(C39)</f>
        <v/>
      </c>
      <c r="P6" s="65">
        <f>(O6*N6)</f>
        <v/>
      </c>
      <c r="Q6" t="inlineStr">
        <is>
          <t>Done</t>
        </is>
      </c>
      <c r="R6" s="23">
        <f>(B6)</f>
        <v/>
      </c>
      <c r="S6" s="64" t="n">
        <v>3950</v>
      </c>
      <c r="T6" s="65">
        <f>(R6*S6)</f>
        <v/>
      </c>
    </row>
    <row r="7">
      <c r="B7" s="23" t="n">
        <v>0.0034</v>
      </c>
      <c r="C7" s="64" t="n">
        <v>3428</v>
      </c>
      <c r="D7" s="65">
        <f>B7*C7</f>
        <v/>
      </c>
      <c r="F7" t="inlineStr">
        <is>
          <t>Moy</t>
        </is>
      </c>
      <c r="G7" s="63">
        <f>(D44/B44)</f>
        <v/>
      </c>
      <c r="N7">
        <f>(2*($R$18+N6)/5-N6)</f>
        <v/>
      </c>
      <c r="O7" s="64">
        <f>($S$18*[1]Params!K16)</f>
        <v/>
      </c>
      <c r="P7" s="65">
        <f>(O7*N7)</f>
        <v/>
      </c>
      <c r="R7" s="23">
        <f>(B7)</f>
        <v/>
      </c>
      <c r="S7" s="64" t="n">
        <v>3428</v>
      </c>
      <c r="T7" s="65">
        <f>(R7*S7)</f>
        <v/>
      </c>
    </row>
    <row r="8">
      <c r="B8" s="23" t="n">
        <v>-0.0076</v>
      </c>
      <c r="C8" s="63" t="n">
        <v>3216.89</v>
      </c>
      <c r="D8" s="65">
        <f>B8*C8</f>
        <v/>
      </c>
      <c r="N8">
        <f>($B$35/5)</f>
        <v/>
      </c>
      <c r="O8" s="64">
        <f>($S$18*[1]Params!K17)</f>
        <v/>
      </c>
      <c r="P8" s="65">
        <f>(O8*N8)</f>
        <v/>
      </c>
      <c r="R8" s="23">
        <f>(B11+B10+B9+B8)</f>
        <v/>
      </c>
      <c r="S8" s="63" t="n">
        <v>0</v>
      </c>
      <c r="T8" s="65">
        <f>(D11+D10+D9+D8)</f>
        <v/>
      </c>
    </row>
    <row r="9">
      <c r="B9" s="23" t="n">
        <v>-0.0076</v>
      </c>
      <c r="C9" s="63" t="n">
        <v>3214.67</v>
      </c>
      <c r="D9" s="65">
        <f>B9*C9</f>
        <v/>
      </c>
      <c r="N9">
        <f>($B$35/5)</f>
        <v/>
      </c>
      <c r="O9" s="64">
        <f>($S$18*[1]Params!K18)</f>
        <v/>
      </c>
      <c r="P9" s="65">
        <f>(O9*N9)</f>
        <v/>
      </c>
      <c r="R9" s="23">
        <f>(B12)</f>
        <v/>
      </c>
      <c r="S9" s="63" t="n">
        <v>0</v>
      </c>
      <c r="T9" s="65">
        <f>(R9*S9)</f>
        <v/>
      </c>
    </row>
    <row r="10">
      <c r="B10" s="23" t="n">
        <v>-0.0076</v>
      </c>
      <c r="C10" s="63" t="n">
        <v>3213.16</v>
      </c>
      <c r="D10" s="65">
        <f>B10*C10</f>
        <v/>
      </c>
      <c r="R10" s="23">
        <f>(SUM(B13:B20))</f>
        <v/>
      </c>
      <c r="S10" s="64">
        <f>(T10/R10)</f>
        <v/>
      </c>
      <c r="T10" s="65">
        <f>(SUM(D13:D20))</f>
        <v/>
      </c>
    </row>
    <row r="11">
      <c r="B11" s="23" t="n">
        <v>0.0243</v>
      </c>
      <c r="C11" s="64" t="n">
        <v>3010</v>
      </c>
      <c r="D11" s="65">
        <f>B11*C11</f>
        <v/>
      </c>
      <c r="I11" t="inlineStr">
        <is>
          <t>Objectif</t>
        </is>
      </c>
      <c r="J11" t="n">
        <v>0.6</v>
      </c>
      <c r="P11" s="65">
        <f>(SUM(P6:P9))</f>
        <v/>
      </c>
      <c r="R11" s="23">
        <f>(B21)</f>
        <v/>
      </c>
      <c r="S11" s="64" t="n">
        <v>1895</v>
      </c>
      <c r="T11" s="65">
        <f>(R11*S11)</f>
        <v/>
      </c>
    </row>
    <row r="12">
      <c r="B12" s="24" t="n">
        <v>0.00747298</v>
      </c>
      <c r="C12" s="66" t="n">
        <v>0</v>
      </c>
      <c r="D12" s="67">
        <f>B12*C12</f>
        <v/>
      </c>
      <c r="E12" s="63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64" t="n">
        <v>1890.15</v>
      </c>
      <c r="T12" s="65">
        <f>(R12*S12)</f>
        <v/>
      </c>
    </row>
    <row r="13">
      <c r="B13" s="23" t="n">
        <v>-0.008</v>
      </c>
      <c r="C13" s="63" t="n">
        <v>2340</v>
      </c>
      <c r="D13" s="65">
        <f>B13*C13</f>
        <v/>
      </c>
      <c r="I13" t="inlineStr">
        <is>
          <t>Diff in $</t>
        </is>
      </c>
      <c r="J13" s="63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64">
        <f>(T13/R13)</f>
        <v/>
      </c>
      <c r="T13" s="65">
        <f>(82.1)</f>
        <v/>
      </c>
    </row>
    <row r="14">
      <c r="B14" s="23" t="n">
        <v>-0.01</v>
      </c>
      <c r="C14" s="63" t="n">
        <v>2263</v>
      </c>
      <c r="D14" s="65">
        <f>B14*C14</f>
        <v/>
      </c>
      <c r="M14" t="inlineStr">
        <is>
          <t>Objectif</t>
        </is>
      </c>
      <c r="N14">
        <f>(-B38)</f>
        <v/>
      </c>
      <c r="O14" s="64">
        <f>(C38)</f>
        <v/>
      </c>
      <c r="P14" s="65">
        <f>(O14*N14)</f>
        <v/>
      </c>
      <c r="Q14" t="inlineStr">
        <is>
          <t>Done</t>
        </is>
      </c>
      <c r="R14" s="23">
        <f>(B24)</f>
        <v/>
      </c>
      <c r="S14" s="64" t="n">
        <v>1709</v>
      </c>
      <c r="T14" s="65">
        <f>(S14*R14)</f>
        <v/>
      </c>
    </row>
    <row r="15">
      <c r="B15" s="23" t="n">
        <v>-0.008999999999999999</v>
      </c>
      <c r="C15" s="63" t="n">
        <v>2114</v>
      </c>
      <c r="D15" s="65">
        <f>B15*C15</f>
        <v/>
      </c>
      <c r="N15">
        <f>(2*($R$19+N14)/5-N14)</f>
        <v/>
      </c>
      <c r="O15" s="64">
        <f>($S$19*[1]Params!K16)</f>
        <v/>
      </c>
      <c r="P15" s="65">
        <f>(O15*N15)</f>
        <v/>
      </c>
      <c r="R15" s="23">
        <f>(B25)</f>
        <v/>
      </c>
      <c r="S15" s="64" t="n">
        <v>1617.3</v>
      </c>
      <c r="T15" s="65">
        <f>(S15*R15)</f>
        <v/>
      </c>
    </row>
    <row r="16">
      <c r="B16" s="23" t="n">
        <v>-0.008</v>
      </c>
      <c r="C16" s="63" t="n">
        <v>2027.47</v>
      </c>
      <c r="D16" s="65">
        <f>B16*C16</f>
        <v/>
      </c>
      <c r="N16">
        <f>($B$36/5)</f>
        <v/>
      </c>
      <c r="O16" s="64">
        <f>($S$19*[1]Params!K17)</f>
        <v/>
      </c>
      <c r="P16" s="65">
        <f>(O16*N16)</f>
        <v/>
      </c>
      <c r="R16" s="23">
        <f>(SUM(B26:B33))</f>
        <v/>
      </c>
      <c r="S16" s="63" t="n">
        <v>0</v>
      </c>
      <c r="T16" s="65">
        <f>(SUM(D26:D33))</f>
        <v/>
      </c>
    </row>
    <row r="17">
      <c r="B17" s="23" t="n">
        <v>-0.008200000000000001</v>
      </c>
      <c r="C17" s="63" t="n">
        <v>1961</v>
      </c>
      <c r="D17" s="65">
        <f>B17*C17</f>
        <v/>
      </c>
      <c r="N17">
        <f>($B$36/5)</f>
        <v/>
      </c>
      <c r="O17" s="64">
        <f>($S$19*[1]Params!K18)</f>
        <v/>
      </c>
      <c r="P17" s="65">
        <f>(O17*N17)</f>
        <v/>
      </c>
      <c r="R17" s="23">
        <f>(B34)</f>
        <v/>
      </c>
      <c r="S17" s="63">
        <f>(T17/R17)</f>
        <v/>
      </c>
      <c r="T17" s="65" t="n">
        <v>-12.19326523</v>
      </c>
    </row>
    <row r="18">
      <c r="B18" s="23" t="n">
        <v>0.016</v>
      </c>
      <c r="C18" s="64">
        <f>1/0.00048218</f>
        <v/>
      </c>
      <c r="D18" s="65">
        <f>B18*C18</f>
        <v/>
      </c>
      <c r="R18" s="23">
        <f>(B35+B39)</f>
        <v/>
      </c>
      <c r="S18" s="64">
        <f>(T18/R18)</f>
        <v/>
      </c>
      <c r="T18" s="65">
        <f>(D35+1283.68*B39)</f>
        <v/>
      </c>
      <c r="U18" t="inlineStr">
        <is>
          <t>DCA1</t>
        </is>
      </c>
    </row>
    <row r="19">
      <c r="B19" s="23" t="n">
        <v>0.012</v>
      </c>
      <c r="C19" s="64">
        <f>1/0.0008564</f>
        <v/>
      </c>
      <c r="D19" s="65">
        <f>B19*C19</f>
        <v/>
      </c>
      <c r="P19" s="65">
        <f>(SUM(P14:P17))</f>
        <v/>
      </c>
      <c r="R19" s="23">
        <f>(B36+B38)</f>
        <v/>
      </c>
      <c r="S19" s="64">
        <f>(T19/R19)</f>
        <v/>
      </c>
      <c r="T19" s="65">
        <f>(D36+1269.75*B38)</f>
        <v/>
      </c>
      <c r="U19" t="inlineStr">
        <is>
          <t>DCA2</t>
        </is>
      </c>
    </row>
    <row r="20">
      <c r="B20" s="23" t="n">
        <v>0.03210429</v>
      </c>
      <c r="C20" s="64">
        <f>D20/B20</f>
        <v/>
      </c>
      <c r="D20" s="65" t="n">
        <v>50</v>
      </c>
      <c r="R20" s="23">
        <f>(B37)</f>
        <v/>
      </c>
      <c r="S20" s="64">
        <f>(C37)</f>
        <v/>
      </c>
      <c r="T20" s="65">
        <f>(D37)</f>
        <v/>
      </c>
    </row>
    <row r="21">
      <c r="B21" s="23" t="n">
        <v>0.01</v>
      </c>
      <c r="C21" s="64" t="n">
        <v>1895</v>
      </c>
      <c r="D21" s="65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63" t="n">
        <v>0</v>
      </c>
      <c r="T21" s="65">
        <f>(1269.75*-B38+D38)</f>
        <v/>
      </c>
      <c r="U21" t="inlineStr">
        <is>
          <t>DCA2 1/5</t>
        </is>
      </c>
    </row>
    <row r="22">
      <c r="B22" s="23" t="n">
        <v>0.01</v>
      </c>
      <c r="C22" s="64" t="n">
        <v>1890.15</v>
      </c>
      <c r="D22" s="65">
        <f>B22*C22</f>
        <v/>
      </c>
      <c r="M22" t="inlineStr">
        <is>
          <t>Objectif</t>
        </is>
      </c>
      <c r="N22">
        <f>($R$23/5)</f>
        <v/>
      </c>
      <c r="O22" s="64">
        <f>($S$23*[1]Params!K15)</f>
        <v/>
      </c>
      <c r="P22" s="65">
        <f>(O22*N22)</f>
        <v/>
      </c>
      <c r="R22" s="23">
        <f>(B39-B39)</f>
        <v/>
      </c>
      <c r="S22" s="63" t="n">
        <v>0</v>
      </c>
      <c r="T22" s="65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64">
        <f>D23/B23</f>
        <v/>
      </c>
      <c r="D23" s="65">
        <f>82.1</f>
        <v/>
      </c>
      <c r="N23">
        <f>($R$23/5)</f>
        <v/>
      </c>
      <c r="O23" s="64">
        <f>($S$23*[1]Params!K16)</f>
        <v/>
      </c>
      <c r="P23" s="65">
        <f>(O23*N23)</f>
        <v/>
      </c>
      <c r="R23" s="23">
        <f>(B40)</f>
        <v/>
      </c>
      <c r="S23" s="64">
        <f>(T23/R23)</f>
        <v/>
      </c>
      <c r="T23" s="65">
        <f>(D40)</f>
        <v/>
      </c>
      <c r="U23" t="inlineStr">
        <is>
          <t>DCA3</t>
        </is>
      </c>
    </row>
    <row r="24">
      <c r="B24" s="23" t="n">
        <v>0.01</v>
      </c>
      <c r="C24" s="64" t="n">
        <v>1709</v>
      </c>
      <c r="D24" s="65">
        <f>C24*B24</f>
        <v/>
      </c>
      <c r="N24">
        <f>($R$23/5)</f>
        <v/>
      </c>
      <c r="O24" s="64">
        <f>($S$23*[1]Params!K17)</f>
        <v/>
      </c>
      <c r="P24" s="65">
        <f>(O24*N24)</f>
        <v/>
      </c>
      <c r="R24" s="23">
        <f>B41</f>
        <v/>
      </c>
      <c r="S24" s="64">
        <f>(T24/R24)</f>
        <v/>
      </c>
      <c r="T24" s="65">
        <f>D41</f>
        <v/>
      </c>
    </row>
    <row r="25">
      <c r="B25" s="23" t="n">
        <v>0.01</v>
      </c>
      <c r="C25" s="64" t="n">
        <v>1617.3</v>
      </c>
      <c r="D25" s="65">
        <f>(C25*B25)</f>
        <v/>
      </c>
      <c r="N25">
        <f>($R$23/5)</f>
        <v/>
      </c>
      <c r="O25" s="64">
        <f>($S$23*[1]Params!K18)</f>
        <v/>
      </c>
      <c r="P25" s="65">
        <f>(O25*N25)</f>
        <v/>
      </c>
    </row>
    <row r="26">
      <c r="B26" s="23" t="n">
        <v>-0.01</v>
      </c>
      <c r="C26" s="63" t="n">
        <v>1530</v>
      </c>
      <c r="D26" s="65">
        <f>(C26*B26)</f>
        <v/>
      </c>
    </row>
    <row r="27">
      <c r="B27" s="23" t="n">
        <v>0.01</v>
      </c>
      <c r="C27" s="64" t="n">
        <v>1500</v>
      </c>
      <c r="D27" s="65">
        <f>(C27*B27)</f>
        <v/>
      </c>
      <c r="P27" s="65">
        <f>(SUM(P22:P25))</f>
        <v/>
      </c>
    </row>
    <row r="28">
      <c r="B28" s="23" t="n">
        <v>-0.01</v>
      </c>
      <c r="C28" s="63">
        <f>(D28/B28)</f>
        <v/>
      </c>
      <c r="D28" s="65" t="n">
        <v>-14.43</v>
      </c>
    </row>
    <row r="29">
      <c r="B29" s="23" t="n">
        <v>0.01</v>
      </c>
      <c r="C29" s="64" t="n">
        <v>1428.89</v>
      </c>
      <c r="D29" s="65">
        <f>(C29*B29)</f>
        <v/>
      </c>
    </row>
    <row r="30">
      <c r="B30" s="23" t="n">
        <v>-0.01</v>
      </c>
      <c r="C30" s="63" t="n">
        <v>1402.5</v>
      </c>
      <c r="D30" s="65">
        <f>(C30*B30)</f>
        <v/>
      </c>
    </row>
    <row r="31">
      <c r="B31" s="23" t="n">
        <v>0.01</v>
      </c>
      <c r="C31" s="64" t="n">
        <v>1372</v>
      </c>
      <c r="D31" s="65">
        <f>(C31*B31)</f>
        <v/>
      </c>
    </row>
    <row r="32">
      <c r="B32" s="23" t="n">
        <v>-0.01</v>
      </c>
      <c r="C32" s="63" t="n">
        <v>1286.66</v>
      </c>
      <c r="D32" s="65">
        <f>(C32*B32)</f>
        <v/>
      </c>
      <c r="R32">
        <f>(SUM(R5:R31))</f>
        <v/>
      </c>
      <c r="T32" s="65">
        <f>(SUM(T5:T31))</f>
        <v/>
      </c>
    </row>
    <row r="33">
      <c r="B33" s="23" t="n">
        <v>0.01</v>
      </c>
      <c r="C33" s="64" t="n">
        <v>1250</v>
      </c>
      <c r="D33" s="65">
        <f>(C33*B33)</f>
        <v/>
      </c>
    </row>
    <row r="34">
      <c r="B34" s="23" t="n">
        <v>-0.01</v>
      </c>
      <c r="C34" s="63">
        <f>(D34/B34)</f>
        <v/>
      </c>
      <c r="D34" s="65" t="n">
        <v>-12.19326523</v>
      </c>
    </row>
    <row r="35">
      <c r="B35" s="23" t="n">
        <v>0.12795778</v>
      </c>
      <c r="C35" s="64">
        <f>(D35/B35)</f>
        <v/>
      </c>
      <c r="D35" s="65" t="n">
        <v>225.24</v>
      </c>
      <c r="E35" t="inlineStr">
        <is>
          <t>DCA1</t>
        </is>
      </c>
    </row>
    <row r="36">
      <c r="B36" s="23" t="n">
        <v>0.02570108</v>
      </c>
      <c r="C36" s="64">
        <f>(D36/B36)</f>
        <v/>
      </c>
      <c r="D36" s="65" t="n">
        <v>45.9</v>
      </c>
      <c r="E36" t="inlineStr">
        <is>
          <t>DCA2</t>
        </is>
      </c>
    </row>
    <row r="37">
      <c r="B37" s="23" t="n">
        <v>0.00041228</v>
      </c>
      <c r="C37" s="64">
        <f>(D37/B37)</f>
        <v/>
      </c>
      <c r="D37" s="65" t="n">
        <v>0.5</v>
      </c>
    </row>
    <row r="38">
      <c r="B38" s="23">
        <f>(-0.000705)</f>
        <v/>
      </c>
      <c r="C38" s="63" t="n">
        <v>1605</v>
      </c>
      <c r="D38" s="65">
        <f>(C38*B38)</f>
        <v/>
      </c>
    </row>
    <row r="39">
      <c r="B39" s="23">
        <f>(-0.00535-B38)</f>
        <v/>
      </c>
      <c r="C39" s="63" t="n">
        <v>1605</v>
      </c>
      <c r="D39" s="65">
        <f>(C39*B39)</f>
        <v/>
      </c>
    </row>
    <row r="40">
      <c r="B40" s="23" t="n">
        <v>0.05826808</v>
      </c>
      <c r="C40" s="64">
        <f>(D40/B40)</f>
        <v/>
      </c>
      <c r="D40" s="65" t="n">
        <v>111.05</v>
      </c>
      <c r="E40" t="inlineStr">
        <is>
          <t>DCA3</t>
        </is>
      </c>
    </row>
    <row r="41">
      <c r="B41" s="23">
        <f>0.0203796-0.02</f>
        <v/>
      </c>
      <c r="C41" s="64" t="n">
        <v>0</v>
      </c>
      <c r="D41" s="65" t="n">
        <v>0</v>
      </c>
      <c r="E41" s="68" t="inlineStr">
        <is>
          <t>ETH/BTC</t>
        </is>
      </c>
    </row>
    <row r="42">
      <c r="B42" s="23">
        <f>0.0943*0.999</f>
        <v/>
      </c>
      <c r="C42" s="64" t="n">
        <v>0</v>
      </c>
      <c r="D42" s="65" t="n">
        <v>0</v>
      </c>
      <c r="E42" s="68" t="inlineStr">
        <is>
          <t>ETH/BTC</t>
        </is>
      </c>
      <c r="F42" t="n">
        <v>0.5298</v>
      </c>
    </row>
    <row r="43">
      <c r="F43" t="inlineStr">
        <is>
          <t>Moy</t>
        </is>
      </c>
      <c r="G43" s="64">
        <f>D44/B44</f>
        <v/>
      </c>
    </row>
    <row r="44">
      <c r="B44">
        <f>(SUM(B5:B43))</f>
        <v/>
      </c>
      <c r="D44" s="65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T21"/>
  <sheetViews>
    <sheetView workbookViewId="0">
      <selection activeCell="U12" sqref="U12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7" t="n">
        <v>0.004986551711064912</v>
      </c>
      <c r="M3" t="inlineStr">
        <is>
          <t>Objectif :</t>
        </is>
      </c>
      <c r="N3" s="23">
        <f>(INDEX(N5:N18,MATCH(MAX(O6),O5:O18,0))/0.85)</f>
        <v/>
      </c>
      <c r="O3" s="88">
        <f>(MAX(O6)*0.75)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7">
        <f>(D5/B5)</f>
        <v/>
      </c>
      <c r="D5" s="6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7">
        <f>(T5/R5)</f>
        <v/>
      </c>
      <c r="T5" s="64">
        <f>(D5)</f>
        <v/>
      </c>
    </row>
    <row r="6">
      <c r="B6" s="18" t="n">
        <v>-170.21276596</v>
      </c>
      <c r="C6" s="87">
        <f>(D6/B6)</f>
        <v/>
      </c>
      <c r="D6" s="63" t="n">
        <v>-0.778379</v>
      </c>
      <c r="M6" t="inlineStr">
        <is>
          <t>Objectif</t>
        </is>
      </c>
      <c r="N6" s="18">
        <f>-B12</f>
        <v/>
      </c>
      <c r="O6" s="87">
        <f>P6/N6</f>
        <v/>
      </c>
      <c r="P6" s="63">
        <f>-D12</f>
        <v/>
      </c>
      <c r="Q6" t="inlineStr">
        <is>
          <t>Done</t>
        </is>
      </c>
      <c r="R6" s="18">
        <f>(SUM(B6:B11))</f>
        <v/>
      </c>
      <c r="S6" s="87" t="n">
        <v>0</v>
      </c>
      <c r="T6" s="64">
        <f>(SUM(D6:D11))</f>
        <v/>
      </c>
    </row>
    <row r="7">
      <c r="B7" s="18" t="n">
        <v>-175.57251908</v>
      </c>
      <c r="C7" s="87">
        <f>(D7/B7)</f>
        <v/>
      </c>
      <c r="D7" s="63" t="n">
        <v>-0.893567</v>
      </c>
      <c r="N7" s="18">
        <f>-B13</f>
        <v/>
      </c>
      <c r="O7" s="87">
        <f>($C$5*[1]Params!K9)</f>
        <v/>
      </c>
      <c r="P7" s="63">
        <f>-D13</f>
        <v/>
      </c>
      <c r="Q7" t="inlineStr">
        <is>
          <t>Done</t>
        </is>
      </c>
      <c r="R7" s="18">
        <f>B12</f>
        <v/>
      </c>
      <c r="S7" s="87">
        <f>T7/R7</f>
        <v/>
      </c>
      <c r="T7" s="64">
        <f>D12</f>
        <v/>
      </c>
    </row>
    <row r="8">
      <c r="B8" s="18" t="n">
        <v>-167.7852349</v>
      </c>
      <c r="C8" s="87">
        <f>(D8/B8)</f>
        <v/>
      </c>
      <c r="D8" s="63" t="n">
        <v>-1.213721</v>
      </c>
      <c r="N8" s="18">
        <f>($B$15/3)</f>
        <v/>
      </c>
      <c r="O8" s="87">
        <f>($C$5*[1]Params!K10)</f>
        <v/>
      </c>
      <c r="P8" s="63">
        <f>(O8*N8)</f>
        <v/>
      </c>
      <c r="R8" s="18">
        <f>B13</f>
        <v/>
      </c>
      <c r="S8" s="87">
        <f>T8/R8</f>
        <v/>
      </c>
      <c r="T8" s="64">
        <f>D13</f>
        <v/>
      </c>
    </row>
    <row r="9">
      <c r="B9" s="18" t="n">
        <v>196.03891277</v>
      </c>
      <c r="C9" s="87">
        <f>(D9/B9)</f>
        <v/>
      </c>
      <c r="D9" s="63" t="n">
        <v>1.130011</v>
      </c>
      <c r="N9" s="18">
        <f>($B$15/3)</f>
        <v/>
      </c>
      <c r="O9" s="87">
        <f>($C$5*[1]Params!K11)</f>
        <v/>
      </c>
      <c r="P9" s="63">
        <f>(O9*N9)</f>
        <v/>
      </c>
    </row>
    <row r="10">
      <c r="B10" s="18" t="n">
        <v>197.79050008</v>
      </c>
      <c r="C10" s="87">
        <f>(D10/B10)</f>
        <v/>
      </c>
      <c r="D10" s="63" t="n">
        <v>0.85006</v>
      </c>
    </row>
    <row r="11">
      <c r="B11" s="18" t="n">
        <v>191.37734579</v>
      </c>
      <c r="C11" s="87">
        <f>(D11/B11)</f>
        <v/>
      </c>
      <c r="D11" s="63" t="n">
        <v>0.737757</v>
      </c>
      <c r="P11" s="63">
        <f>(SUM(P6:P9))</f>
        <v/>
      </c>
    </row>
    <row r="12">
      <c r="B12" s="18" t="n">
        <v>-184.21052632</v>
      </c>
      <c r="C12" s="87">
        <f>(D12/B12)</f>
        <v/>
      </c>
      <c r="D12" s="63" t="n">
        <v>-0.821395</v>
      </c>
    </row>
    <row r="13">
      <c r="B13" s="18" t="n">
        <v>-188.84892086</v>
      </c>
      <c r="C13" s="87">
        <f>(D13/B13)</f>
        <v/>
      </c>
      <c r="D13" s="63" t="n">
        <v>-1.027149</v>
      </c>
    </row>
    <row r="14">
      <c r="F14" t="inlineStr">
        <is>
          <t>Moy</t>
        </is>
      </c>
      <c r="G14" s="87">
        <f>(D15/B15)</f>
        <v/>
      </c>
    </row>
    <row r="15">
      <c r="B15">
        <f>(SUM(B5:B14))</f>
        <v/>
      </c>
      <c r="D15" s="64">
        <f>(SUM(D5:D14))</f>
        <v/>
      </c>
    </row>
    <row r="17">
      <c r="R17">
        <f>(SUM(R5:R16))</f>
        <v/>
      </c>
      <c r="T17" s="64">
        <f>(SUM(T5:T16))</f>
        <v/>
      </c>
    </row>
    <row r="21">
      <c r="K21" s="64" t="n"/>
    </row>
  </sheetData>
  <conditionalFormatting sqref="C5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C9:C11 G14 O8:O9 S5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3" t="n">
        <v>1.978488072207177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4" t="n">
        <v>17.12465969</v>
      </c>
      <c r="C5" s="63">
        <f>(D5/B5)</f>
        <v/>
      </c>
      <c r="D5" s="63" t="n">
        <v>45.9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6" t="n">
        <v>0</v>
      </c>
      <c r="T5" s="67">
        <f>(D6)</f>
        <v/>
      </c>
      <c r="U5" s="63">
        <f>(R5*J3)</f>
        <v/>
      </c>
    </row>
    <row r="6">
      <c r="B6" s="86" t="n">
        <v>0.6019319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74">
        <f>(SUM(R5:R7)/5)</f>
        <v/>
      </c>
      <c r="O6" s="63">
        <f>($C$5*[1]Params!K8)</f>
        <v/>
      </c>
      <c r="P6" s="63">
        <f>(O6*N6)</f>
        <v/>
      </c>
      <c r="R6" s="74">
        <f>(B5)</f>
        <v/>
      </c>
      <c r="S6" s="63">
        <f>(T6/R6)</f>
        <v/>
      </c>
      <c r="T6" s="63">
        <f>(D5)</f>
        <v/>
      </c>
      <c r="U6" t="inlineStr">
        <is>
          <t>DCA2</t>
        </is>
      </c>
    </row>
    <row r="7">
      <c r="B7" s="74" t="n">
        <v>-0.2273</v>
      </c>
      <c r="C7" s="63">
        <f>(D7/B7)</f>
        <v/>
      </c>
      <c r="D7" s="63" t="n">
        <v>-1.125135</v>
      </c>
      <c r="N7" s="74">
        <f>(SUM(R5:R7)/5)</f>
        <v/>
      </c>
      <c r="O7" s="63">
        <f>($C$5*[1]Params!K9)</f>
        <v/>
      </c>
      <c r="P7" s="63">
        <f>(O7*N7)</f>
        <v/>
      </c>
      <c r="R7" s="74">
        <f>(SUM(B7:B12))</f>
        <v/>
      </c>
      <c r="S7" s="63" t="n">
        <v>0</v>
      </c>
      <c r="T7" s="63">
        <f>(SUM(D7:D12))</f>
        <v/>
      </c>
      <c r="U7" s="64">
        <f>-T7+R7*J3</f>
        <v/>
      </c>
    </row>
    <row r="8">
      <c r="B8" s="74" t="n">
        <v>-0.305</v>
      </c>
      <c r="C8" s="63">
        <f>(D8/B8)</f>
        <v/>
      </c>
      <c r="D8" s="63" t="n">
        <v>-1.91101378</v>
      </c>
      <c r="N8" s="74">
        <f>(SUM(R5:R7)/5)</f>
        <v/>
      </c>
      <c r="O8" s="63">
        <f>($C$5*[1]Params!K10)</f>
        <v/>
      </c>
      <c r="P8" s="63">
        <f>(O8*N8)</f>
        <v/>
      </c>
    </row>
    <row r="9">
      <c r="B9" s="74" t="n">
        <v>0.34203371</v>
      </c>
      <c r="C9" s="63">
        <f>(D9/B9)</f>
        <v/>
      </c>
      <c r="D9" s="63" t="n">
        <v>1.8</v>
      </c>
      <c r="N9" s="74">
        <f>(SUM(R5:R7)/5)</f>
        <v/>
      </c>
      <c r="O9" s="63">
        <f>($C$5*[1]Params!K11)</f>
        <v/>
      </c>
      <c r="P9" s="63">
        <f>(O9*N9)</f>
        <v/>
      </c>
    </row>
    <row r="10">
      <c r="B10" s="74" t="n">
        <v>0.25620803</v>
      </c>
      <c r="C10" s="63">
        <f>(D10/B10)</f>
        <v/>
      </c>
      <c r="D10" s="63" t="n">
        <v>1.06</v>
      </c>
    </row>
    <row r="11">
      <c r="B11" s="74" t="n">
        <v>-0.4</v>
      </c>
      <c r="C11" s="63">
        <f>(D11/B11)</f>
        <v/>
      </c>
      <c r="D11" s="63" t="n">
        <v>-1.66251396</v>
      </c>
      <c r="P11" s="63">
        <f>(SUM(P6:P9))</f>
        <v/>
      </c>
    </row>
    <row r="12">
      <c r="B12" s="74" t="n">
        <v>0.4</v>
      </c>
      <c r="C12" s="63">
        <f>(D12/B12)</f>
        <v/>
      </c>
      <c r="D12" s="63">
        <f>(1.64908115)</f>
        <v/>
      </c>
    </row>
    <row r="13">
      <c r="F13" t="inlineStr">
        <is>
          <t>Moy</t>
        </is>
      </c>
      <c r="G13" s="63">
        <f>(D14/B14)</f>
        <v/>
      </c>
    </row>
    <row r="14">
      <c r="B14" s="74">
        <f>(SUM(B5:B13))</f>
        <v/>
      </c>
      <c r="D14" s="63">
        <f>(SUM(D5:D13))</f>
        <v/>
      </c>
      <c r="R14" s="74">
        <f>(SUM(R5:R13))</f>
        <v/>
      </c>
      <c r="T14" s="63">
        <f>(SUM(T5:T13))</f>
        <v/>
      </c>
    </row>
    <row r="15"/>
    <row r="16"/>
    <row r="17"/>
    <row r="18"/>
    <row r="19"/>
    <row r="20"/>
    <row r="21"/>
    <row r="22">
      <c r="D22" s="74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3" t="n">
        <v>11.82825788248545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</row>
    <row r="5">
      <c r="B5" s="74" t="n">
        <v>1.11</v>
      </c>
      <c r="C5" s="63">
        <f>(D5/B5)</f>
        <v/>
      </c>
      <c r="D5" s="6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4" t="n">
        <v>0.08793607000000001</v>
      </c>
      <c r="C6" s="63" t="n">
        <v>0</v>
      </c>
      <c r="D6" s="63">
        <f>(B6*C6)</f>
        <v/>
      </c>
      <c r="E6" s="63">
        <f>(B6*J3)</f>
        <v/>
      </c>
      <c r="M6" t="inlineStr">
        <is>
          <t>Objectif</t>
        </is>
      </c>
      <c r="N6" s="1">
        <f>(SUM($B$5:$B$7)/5)</f>
        <v/>
      </c>
      <c r="O6" s="63">
        <f>($C$5*[1]Params!K8)</f>
        <v/>
      </c>
      <c r="P6" s="63">
        <f>(O6*N6)</f>
        <v/>
      </c>
    </row>
    <row r="7">
      <c r="B7" s="86" t="n">
        <v>0.02986839</v>
      </c>
      <c r="C7" s="66" t="n">
        <v>0</v>
      </c>
      <c r="D7" s="67">
        <f>(C7*B7)</f>
        <v/>
      </c>
      <c r="E7" s="63">
        <f>(B7*J4)</f>
        <v/>
      </c>
      <c r="N7" s="1">
        <f>(SUM($B$5:$B$7)/5)</f>
        <v/>
      </c>
      <c r="O7" s="63">
        <f>($C$5*[1]Params!K9)</f>
        <v/>
      </c>
      <c r="P7" s="63">
        <f>(O7*N7)</f>
        <v/>
      </c>
    </row>
    <row r="8">
      <c r="N8" s="1">
        <f>(SUM($B$5:$B$7)/5)</f>
        <v/>
      </c>
      <c r="O8" s="63">
        <f>($C$5*[1]Params!K10)</f>
        <v/>
      </c>
      <c r="P8" s="63">
        <f>(O8*N8)</f>
        <v/>
      </c>
    </row>
    <row r="9">
      <c r="N9" s="1">
        <f>(SUM($B$5:$B$7)/5)</f>
        <v/>
      </c>
      <c r="O9" s="63">
        <f>($C$5*[1]Params!K11)</f>
        <v/>
      </c>
      <c r="P9" s="63">
        <f>(O9*N9)</f>
        <v/>
      </c>
    </row>
    <row r="10"/>
    <row r="11"/>
    <row r="12">
      <c r="P12" s="63">
        <f>(SUM(P6:P9))</f>
        <v/>
      </c>
    </row>
    <row r="13">
      <c r="F13" t="inlineStr">
        <is>
          <t>Moy</t>
        </is>
      </c>
      <c r="G13" s="63">
        <f>(D14/B14)</f>
        <v/>
      </c>
    </row>
    <row r="14">
      <c r="B14" s="18">
        <f>(SUM(B5:B13))</f>
        <v/>
      </c>
      <c r="D14" s="6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43.68926404349773</v>
      </c>
      <c r="M3" t="inlineStr">
        <is>
          <t>Objectif :</t>
        </is>
      </c>
      <c r="N3" s="23">
        <f>(INDEX(N5:N17,MATCH(MAX(O14:O16,O6:O8),O5:O17,0))/0.85)</f>
        <v/>
      </c>
      <c r="O3" s="64">
        <f>(MAX(O14:O16,O6:O8)*0.75)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2.69520065</v>
      </c>
      <c r="C5" s="63">
        <f>(D5/B5)</f>
        <v/>
      </c>
      <c r="D5" s="63" t="n">
        <v>45.9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6" t="n">
        <v>0</v>
      </c>
      <c r="T5" s="67">
        <f>(D6)</f>
        <v/>
      </c>
      <c r="U5" s="63">
        <f>(R5*J3)</f>
        <v/>
      </c>
    </row>
    <row r="6">
      <c r="B6" s="24" t="n">
        <v>0.01682194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23">
        <f>($B$5+$R$7)/5</f>
        <v/>
      </c>
      <c r="O6" s="63">
        <f>($C$5*[1]Params!K8)</f>
        <v/>
      </c>
      <c r="P6" s="63">
        <f>(O6*N6)</f>
        <v/>
      </c>
      <c r="Q6" t="inlineStr">
        <is>
          <t>Done</t>
        </is>
      </c>
      <c r="R6" s="23">
        <f>B5+B13+B15+B17</f>
        <v/>
      </c>
      <c r="S6" s="63">
        <f>(T6/R6)</f>
        <v/>
      </c>
      <c r="T6" s="63">
        <f>D5-(-B13-B15)*15.13+B17*15.25</f>
        <v/>
      </c>
      <c r="U6" t="inlineStr">
        <is>
          <t>DCA2</t>
        </is>
      </c>
    </row>
    <row r="7">
      <c r="B7" s="23" t="n">
        <v>-0.0717</v>
      </c>
      <c r="C7" s="63">
        <f>(D7/B7)</f>
        <v/>
      </c>
      <c r="D7" s="63" t="n">
        <v>-1.132143</v>
      </c>
      <c r="N7" s="23">
        <f>-B15</f>
        <v/>
      </c>
      <c r="O7" s="63">
        <f>P7/N7</f>
        <v/>
      </c>
      <c r="P7" s="63">
        <f>-D15</f>
        <v/>
      </c>
      <c r="Q7" t="inlineStr">
        <is>
          <t>Done</t>
        </is>
      </c>
      <c r="R7" s="23">
        <f>(B7+B11+B8+B9)</f>
        <v/>
      </c>
      <c r="S7" s="63" t="n">
        <v>0</v>
      </c>
      <c r="T7" s="63">
        <f>D7+D11+D8+D9</f>
        <v/>
      </c>
      <c r="U7" t="inlineStr">
        <is>
          <t>DCA2 *</t>
        </is>
      </c>
      <c r="V7" s="64">
        <f>-T7+R7*J3</f>
        <v/>
      </c>
    </row>
    <row r="8">
      <c r="B8" t="n">
        <v>-0.114356</v>
      </c>
      <c r="C8" s="63">
        <f>(D8/B8)</f>
        <v/>
      </c>
      <c r="D8" s="63" t="n">
        <v>-2.35151189</v>
      </c>
      <c r="N8" s="23">
        <f>-B17</f>
        <v/>
      </c>
      <c r="O8" s="63">
        <f>P8/N8</f>
        <v/>
      </c>
      <c r="P8" s="63">
        <f>-D17</f>
        <v/>
      </c>
      <c r="Q8" t="inlineStr">
        <is>
          <t>Done</t>
        </is>
      </c>
      <c r="R8" s="23">
        <f>(B10)+B12+B14+B16</f>
        <v/>
      </c>
      <c r="S8" s="63">
        <f>(T8/R8)</f>
        <v/>
      </c>
      <c r="T8" s="63">
        <f>(D10)-(-B12-B14-B16)*14.31</f>
        <v/>
      </c>
      <c r="U8">
        <f>E10</f>
        <v/>
      </c>
    </row>
    <row r="9">
      <c r="B9" s="23" t="n">
        <v>0.1272787</v>
      </c>
      <c r="C9" s="63">
        <f>(D9/B9)</f>
        <v/>
      </c>
      <c r="D9" s="63" t="n">
        <v>2.22</v>
      </c>
      <c r="N9" s="23">
        <f>4*($B$5+$R$7+R5)/5-N6-N7-N8</f>
        <v/>
      </c>
      <c r="O9" s="63">
        <f>($S$6*[1]Params!K11)</f>
        <v/>
      </c>
      <c r="P9" s="63">
        <f>(O9*N9)</f>
        <v/>
      </c>
      <c r="R9" s="23">
        <f>B12-B12</f>
        <v/>
      </c>
      <c r="S9" s="64" t="n">
        <v>0</v>
      </c>
      <c r="T9" s="64">
        <f>D12-B12*14.31</f>
        <v/>
      </c>
    </row>
    <row r="10">
      <c r="B10" s="23" t="n">
        <v>0.75996743</v>
      </c>
      <c r="C10" s="63">
        <f>(D10/B10)</f>
        <v/>
      </c>
      <c r="D10" s="63" t="n">
        <v>12.42</v>
      </c>
      <c r="E10" t="inlineStr">
        <is>
          <t>DCA4</t>
        </is>
      </c>
      <c r="R10" s="23">
        <f>B13-B13</f>
        <v/>
      </c>
      <c r="S10" s="64" t="n">
        <v>0</v>
      </c>
      <c r="T10" s="64">
        <f>D13-B13*15.13</f>
        <v/>
      </c>
    </row>
    <row r="11">
      <c r="B11" s="23" t="n">
        <v>0.09107438</v>
      </c>
      <c r="C11" s="63">
        <f>(D11/B11)</f>
        <v/>
      </c>
      <c r="D11" s="63" t="n">
        <v>1.06</v>
      </c>
      <c r="P11" s="63">
        <f>(SUM(P6:P9))</f>
        <v/>
      </c>
      <c r="R11" s="23">
        <f>B14-B14</f>
        <v/>
      </c>
      <c r="S11" s="64" t="n">
        <v>0</v>
      </c>
      <c r="T11" s="64">
        <f>D14-B14*14.31</f>
        <v/>
      </c>
    </row>
    <row r="12">
      <c r="B12" s="23" t="n">
        <v>-0.1375</v>
      </c>
      <c r="C12" s="63">
        <f>(D12/B12)</f>
        <v/>
      </c>
      <c r="D12" s="63" t="n">
        <v>-2.54918818</v>
      </c>
      <c r="P12" s="63" t="n"/>
      <c r="R12" s="23">
        <f>B15-B15</f>
        <v/>
      </c>
      <c r="S12" s="64" t="n">
        <v>0</v>
      </c>
      <c r="T12" s="64">
        <f>D15-B15*15.13</f>
        <v/>
      </c>
    </row>
    <row r="13">
      <c r="B13" s="23" t="n">
        <v>-0.4967</v>
      </c>
      <c r="C13" s="63">
        <f>(D13/B13)</f>
        <v/>
      </c>
      <c r="D13" s="63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64" t="n">
        <v>0</v>
      </c>
      <c r="T13" s="64">
        <f>D16-B16*14.31</f>
        <v/>
      </c>
    </row>
    <row r="14">
      <c r="B14" s="23" t="n">
        <v>-0.137</v>
      </c>
      <c r="C14" s="63">
        <f>(D14/B14)</f>
        <v/>
      </c>
      <c r="D14" s="63">
        <f>-3.12512811</f>
        <v/>
      </c>
      <c r="M14" t="inlineStr">
        <is>
          <t>Objectif</t>
        </is>
      </c>
      <c r="N14" s="23">
        <f>-B12</f>
        <v/>
      </c>
      <c r="O14" s="63">
        <f>18.6</f>
        <v/>
      </c>
      <c r="P14" s="63">
        <f>-D12</f>
        <v/>
      </c>
      <c r="Q14" t="inlineStr">
        <is>
          <t>Done</t>
        </is>
      </c>
      <c r="R14" s="23">
        <f>B17-B17</f>
        <v/>
      </c>
      <c r="T14" s="64">
        <f>D17-B17*15.25</f>
        <v/>
      </c>
    </row>
    <row r="15">
      <c r="B15" s="23" t="n">
        <v>-0.4967</v>
      </c>
      <c r="C15" s="63">
        <f>(D15/B15)</f>
        <v/>
      </c>
      <c r="D15" s="63" t="n">
        <v>-12.12691623</v>
      </c>
      <c r="N15" s="23">
        <f>-B14</f>
        <v/>
      </c>
      <c r="O15" s="63">
        <f>C14</f>
        <v/>
      </c>
      <c r="P15" s="63">
        <f>-D14</f>
        <v/>
      </c>
      <c r="Q15" t="inlineStr">
        <is>
          <t>Done</t>
        </is>
      </c>
    </row>
    <row r="16">
      <c r="B16" s="23" t="n">
        <v>-0.138</v>
      </c>
      <c r="C16" s="63">
        <f>(D16/B16)</f>
        <v/>
      </c>
      <c r="D16" s="63" t="n">
        <v>-4.41956614</v>
      </c>
      <c r="N16" s="23">
        <f>-B16</f>
        <v/>
      </c>
      <c r="O16" s="63">
        <f>C16</f>
        <v/>
      </c>
      <c r="P16" s="63">
        <f>-D16</f>
        <v/>
      </c>
      <c r="Q16" t="inlineStr">
        <is>
          <t>Done</t>
        </is>
      </c>
    </row>
    <row r="17">
      <c r="B17" s="23" t="n">
        <v>-0.5049</v>
      </c>
      <c r="C17" s="63">
        <f>(D17/B17)</f>
        <v/>
      </c>
      <c r="D17" s="63" t="n">
        <v>-18.26254246</v>
      </c>
      <c r="N17" s="23">
        <f>4*($B$10)/5-N14-N15-N16</f>
        <v/>
      </c>
      <c r="O17" s="63">
        <f>($S$8*[1]Params!K11)</f>
        <v/>
      </c>
      <c r="P17" s="63">
        <f>(O17*N17)</f>
        <v/>
      </c>
    </row>
    <row r="18">
      <c r="F18" t="inlineStr">
        <is>
          <t>Moy</t>
        </is>
      </c>
      <c r="G18" s="63">
        <f>(D19/B19)</f>
        <v/>
      </c>
    </row>
    <row r="19">
      <c r="B19" s="23">
        <f>(SUM(B5:B18))</f>
        <v/>
      </c>
      <c r="D19" s="63">
        <f>(SUM(D5:D18))</f>
        <v/>
      </c>
      <c r="P19" s="63">
        <f>(SUM(P14:P17))</f>
        <v/>
      </c>
      <c r="R19" s="23">
        <f>(SUM(R5:R18))</f>
        <v/>
      </c>
      <c r="T19" s="63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64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D15" sqref="D15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63" t="n">
        <v>407.9508642673276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9" t="n">
        <v>0.00021512</v>
      </c>
      <c r="C5" s="63" t="n">
        <v>244</v>
      </c>
      <c r="D5" s="6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9">
        <f>(B5+B13+B9)</f>
        <v/>
      </c>
      <c r="S5" s="63">
        <f>(T5/R5)</f>
        <v/>
      </c>
      <c r="T5" s="63">
        <f>(D5+D13+D9)</f>
        <v/>
      </c>
    </row>
    <row r="6">
      <c r="B6" s="89" t="n">
        <v>0.00664788</v>
      </c>
      <c r="C6" s="63" t="n">
        <v>373</v>
      </c>
      <c r="D6" s="63">
        <f>(C6*B6)</f>
        <v/>
      </c>
      <c r="M6" t="inlineStr">
        <is>
          <t>Objectif</t>
        </is>
      </c>
      <c r="N6" s="23">
        <f>($R$8/5)</f>
        <v/>
      </c>
      <c r="O6" s="63">
        <f>($S$8*[1]Params!K8)</f>
        <v/>
      </c>
      <c r="P6" s="63">
        <f>(O6*N6)</f>
        <v/>
      </c>
      <c r="R6" s="89">
        <f>(B6)</f>
        <v/>
      </c>
      <c r="S6" s="63">
        <f>(C6)</f>
        <v/>
      </c>
      <c r="T6" s="63">
        <f>(R6*S6)</f>
        <v/>
      </c>
    </row>
    <row r="7">
      <c r="B7" s="89" t="n">
        <v>0.000235</v>
      </c>
      <c r="C7" s="63" t="n">
        <v>0</v>
      </c>
      <c r="D7" s="63" t="n">
        <v>0</v>
      </c>
      <c r="E7" s="63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63">
        <f>($S$8*[1]Params!K9)</f>
        <v/>
      </c>
      <c r="P7" s="63">
        <f>(O7*N7)</f>
        <v/>
      </c>
      <c r="R7" s="89">
        <f>(B7+B8+B10)</f>
        <v/>
      </c>
      <c r="S7" s="63">
        <f>(C7)</f>
        <v/>
      </c>
      <c r="T7" s="63">
        <f>(R7*S7)</f>
        <v/>
      </c>
    </row>
    <row r="8">
      <c r="B8" s="89" t="n">
        <v>9.498e-05</v>
      </c>
      <c r="C8" s="63" t="n">
        <v>0</v>
      </c>
      <c r="D8" s="63" t="n">
        <v>0</v>
      </c>
      <c r="E8" s="63">
        <f>(B8*J3)</f>
        <v/>
      </c>
      <c r="I8" t="inlineStr">
        <is>
          <t>Difference</t>
        </is>
      </c>
      <c r="J8" s="89">
        <f>(J7-B17)</f>
        <v/>
      </c>
      <c r="N8" s="23">
        <f>($R$8/5)</f>
        <v/>
      </c>
      <c r="O8" s="63">
        <f>($S$8*[1]Params!K10)</f>
        <v/>
      </c>
      <c r="P8" s="63">
        <f>(O8*N8)</f>
        <v/>
      </c>
      <c r="R8" s="89">
        <f>(B11)</f>
        <v/>
      </c>
      <c r="S8" s="63">
        <f>(C11)</f>
        <v/>
      </c>
      <c r="T8" s="63">
        <f>(R8*S8)</f>
        <v/>
      </c>
      <c r="U8" t="inlineStr">
        <is>
          <t>DCA1</t>
        </is>
      </c>
    </row>
    <row r="9">
      <c r="B9" s="89" t="n">
        <v>9.092e-05</v>
      </c>
      <c r="C9" s="63" t="n">
        <v>276</v>
      </c>
      <c r="D9" s="63">
        <f>(B9*C9)</f>
        <v/>
      </c>
      <c r="E9" s="63" t="n"/>
      <c r="I9" t="inlineStr">
        <is>
          <t>Diff in $</t>
        </is>
      </c>
      <c r="J9" s="69">
        <f>(J8*J3)</f>
        <v/>
      </c>
      <c r="N9" s="23">
        <f>($R$8/5)</f>
        <v/>
      </c>
      <c r="O9" s="63">
        <f>($S$8*[1]Params!K11)</f>
        <v/>
      </c>
      <c r="P9" s="63">
        <f>(O9*N9)</f>
        <v/>
      </c>
      <c r="R9" s="89">
        <f>(B12)</f>
        <v/>
      </c>
      <c r="S9" s="63">
        <f>(C12)</f>
        <v/>
      </c>
      <c r="T9" s="63">
        <f>(R9*S9)</f>
        <v/>
      </c>
      <c r="U9" t="inlineStr">
        <is>
          <t>DCA2</t>
        </is>
      </c>
    </row>
    <row r="10">
      <c r="B10" s="90" t="n">
        <v>0.00281719</v>
      </c>
      <c r="C10" s="66" t="n">
        <v>0</v>
      </c>
      <c r="D10" s="67" t="n">
        <v>0</v>
      </c>
      <c r="E10" s="63">
        <f>(B10*J3)</f>
        <v/>
      </c>
      <c r="P10" s="63" t="n"/>
      <c r="R10" s="89">
        <f>B14+B15</f>
        <v/>
      </c>
      <c r="S10" s="63" t="n">
        <v>0</v>
      </c>
      <c r="T10" s="64">
        <f>D14+D15</f>
        <v/>
      </c>
    </row>
    <row r="11">
      <c r="B11" s="89" t="n">
        <v>0.58682851</v>
      </c>
      <c r="C11" s="63">
        <f>(D11/B11)</f>
        <v/>
      </c>
      <c r="D11" s="63" t="n">
        <v>167.67</v>
      </c>
      <c r="E11" t="inlineStr">
        <is>
          <t>DCA1</t>
        </is>
      </c>
      <c r="P11" s="63">
        <f>(SUM(P6:P9))</f>
        <v/>
      </c>
    </row>
    <row r="12">
      <c r="B12" s="89" t="n">
        <v>0.1586438</v>
      </c>
      <c r="C12" s="63">
        <f>(D12/B12)</f>
        <v/>
      </c>
      <c r="D12" s="63" t="n">
        <v>45.9</v>
      </c>
      <c r="E12" t="inlineStr">
        <is>
          <t>DCA2</t>
        </is>
      </c>
    </row>
    <row r="13">
      <c r="B13" s="89" t="n">
        <v>0.0020117</v>
      </c>
      <c r="C13" s="63">
        <f>(D13/B13)</f>
        <v/>
      </c>
      <c r="D13" s="6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9" t="n">
        <v>0.29477874</v>
      </c>
      <c r="C14" s="63">
        <f>(D14/B14)</f>
        <v/>
      </c>
      <c r="D14" s="63">
        <f>39.9285+28.954</f>
        <v/>
      </c>
      <c r="M14" t="inlineStr">
        <is>
          <t>Objectif</t>
        </is>
      </c>
      <c r="N14" s="23">
        <f>($R$9/5)</f>
        <v/>
      </c>
      <c r="O14" s="63">
        <f>($S$9*[1]Params!K8)</f>
        <v/>
      </c>
      <c r="P14" s="63">
        <f>(O14*N14)</f>
        <v/>
      </c>
    </row>
    <row r="15">
      <c r="B15" s="89" t="n">
        <v>-0.294</v>
      </c>
      <c r="C15" s="63">
        <f>(D15/B15)</f>
        <v/>
      </c>
      <c r="D15" s="63" t="n">
        <v>-71.95797</v>
      </c>
      <c r="N15" s="23">
        <f>($R$9/5)</f>
        <v/>
      </c>
      <c r="O15" s="63">
        <f>($S$9*[1]Params!K9)</f>
        <v/>
      </c>
      <c r="P15" s="63">
        <f>(O15*N15)</f>
        <v/>
      </c>
    </row>
    <row r="16">
      <c r="N16" s="23">
        <f>($R$9/5)</f>
        <v/>
      </c>
      <c r="O16" s="63">
        <f>($S$9*[1]Params!K10)</f>
        <v/>
      </c>
      <c r="P16" s="63">
        <f>(O16*N16)</f>
        <v/>
      </c>
    </row>
    <row r="17">
      <c r="B17" s="89">
        <f>(SUM(B5:B16))</f>
        <v/>
      </c>
      <c r="D17" s="63">
        <f>(SUM(D5:D16))</f>
        <v/>
      </c>
      <c r="F17" t="inlineStr">
        <is>
          <t>Moy</t>
        </is>
      </c>
      <c r="G17" s="63">
        <f>(SUM(D5:D16)/SUM(B5:B16))</f>
        <v/>
      </c>
      <c r="N17" s="23">
        <f>($R$9/5)</f>
        <v/>
      </c>
      <c r="O17" s="63">
        <f>($S$9*[1]Params!K11)</f>
        <v/>
      </c>
      <c r="P17" s="63">
        <f>(O17*N17)</f>
        <v/>
      </c>
    </row>
    <row r="18">
      <c r="P18" s="63" t="n"/>
    </row>
    <row r="19">
      <c r="P19" s="63">
        <f>(SUM(P14:P17))</f>
        <v/>
      </c>
    </row>
    <row r="20"/>
    <row r="21"/>
    <row r="22">
      <c r="N22" s="23" t="n"/>
      <c r="O22" s="63" t="n"/>
      <c r="P22" s="63" t="n"/>
    </row>
    <row r="23">
      <c r="N23" s="23" t="n"/>
      <c r="O23" s="63" t="n"/>
      <c r="P23" s="63" t="n"/>
    </row>
    <row r="24">
      <c r="N24" s="23" t="n"/>
      <c r="O24" s="63" t="n"/>
      <c r="P24" s="63" t="n"/>
    </row>
    <row r="25">
      <c r="N25" s="23" t="n"/>
      <c r="O25" s="63" t="n"/>
      <c r="P25" s="63" t="n"/>
    </row>
    <row r="26">
      <c r="P26" s="63" t="n"/>
    </row>
    <row r="27">
      <c r="P27" s="63" t="n"/>
    </row>
    <row r="28"/>
    <row r="29"/>
    <row r="30"/>
    <row r="31"/>
    <row r="32"/>
    <row r="33"/>
    <row r="34"/>
    <row r="35"/>
    <row r="36"/>
    <row r="37">
      <c r="R37" s="89">
        <f>(SUM(R5:R27))</f>
        <v/>
      </c>
      <c r="T37" s="6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91" t="n">
        <v>0.1338975560051328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</row>
    <row r="5">
      <c r="B5" s="74" t="n">
        <v>61.11911839</v>
      </c>
      <c r="C5" s="84">
        <f>(D5/B5)</f>
        <v/>
      </c>
      <c r="D5" s="6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6" t="n">
        <v>0.29448781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74">
        <f>($B$13/5)</f>
        <v/>
      </c>
      <c r="O6" s="63">
        <f>($C$5*[1]Params!K8)</f>
        <v/>
      </c>
      <c r="P6" s="63">
        <f>(O6*N6)</f>
        <v/>
      </c>
    </row>
    <row r="7">
      <c r="N7" s="74">
        <f>($B$13/5)</f>
        <v/>
      </c>
      <c r="O7" s="63">
        <f>($C$5*[1]Params!K9)</f>
        <v/>
      </c>
      <c r="P7" s="63">
        <f>(O7*N7)</f>
        <v/>
      </c>
    </row>
    <row r="8">
      <c r="N8" s="74">
        <f>($B$13/5)</f>
        <v/>
      </c>
      <c r="O8" s="63">
        <f>($C$5*[1]Params!K10)</f>
        <v/>
      </c>
      <c r="P8" s="63">
        <f>(O8*N8)</f>
        <v/>
      </c>
    </row>
    <row r="9">
      <c r="N9" s="74">
        <f>($B$13/5)</f>
        <v/>
      </c>
      <c r="O9" s="63">
        <f>($C$5*[1]Params!K11)</f>
        <v/>
      </c>
      <c r="P9" s="63">
        <f>(O9*N9)</f>
        <v/>
      </c>
    </row>
    <row r="10"/>
    <row r="11">
      <c r="P11" s="63">
        <f>(SUM(P6:P9))</f>
        <v/>
      </c>
    </row>
    <row r="12">
      <c r="F12" t="inlineStr">
        <is>
          <t>Moy</t>
        </is>
      </c>
      <c r="G12" s="63">
        <f>(D13/B13)</f>
        <v/>
      </c>
    </row>
    <row r="13">
      <c r="B13" s="74">
        <f>(SUM(B5:B12))</f>
        <v/>
      </c>
      <c r="D13" s="6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8.852857171128743</v>
      </c>
      <c r="M3" t="inlineStr">
        <is>
          <t>Objectif :</t>
        </is>
      </c>
      <c r="N3" s="23">
        <f>(INDEX(N5:N17,MATCH(MAX(O6),O5:O17,0))/0.85)</f>
        <v/>
      </c>
      <c r="O3" s="64">
        <f>(MAX(O6)*0.75)</f>
        <v/>
      </c>
      <c r="P3" s="8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7.93841182</v>
      </c>
      <c r="C5" s="63">
        <f>(D5/B5)</f>
        <v/>
      </c>
      <c r="D5" s="63" t="n">
        <v>45.9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6" t="n">
        <v>0</v>
      </c>
      <c r="T5" s="67">
        <f>(D6)</f>
        <v/>
      </c>
      <c r="U5">
        <f>(R5*J3)</f>
        <v/>
      </c>
    </row>
    <row r="6">
      <c r="B6" s="24" t="n">
        <v>0.08116978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23">
        <f>-B11</f>
        <v/>
      </c>
      <c r="O6" s="63">
        <f>C11</f>
        <v/>
      </c>
      <c r="P6" s="63">
        <f>-D11</f>
        <v/>
      </c>
      <c r="Q6" t="inlineStr">
        <is>
          <t>Done</t>
        </is>
      </c>
      <c r="R6" s="23">
        <f>B5+B11</f>
        <v/>
      </c>
      <c r="S6" s="63">
        <f>(T6/R6)</f>
        <v/>
      </c>
      <c r="T6" s="63">
        <f>D5+B11*5.54</f>
        <v/>
      </c>
      <c r="U6" t="inlineStr">
        <is>
          <t>DCA2</t>
        </is>
      </c>
    </row>
    <row r="7">
      <c r="B7" s="23" t="n">
        <v>0.11156135</v>
      </c>
      <c r="C7" s="63">
        <f>(D7/B7)</f>
        <v/>
      </c>
      <c r="D7" s="63" t="n">
        <v>0.5</v>
      </c>
      <c r="N7" s="23">
        <f>2*($B$15+$N$6)/5-$N$6</f>
        <v/>
      </c>
      <c r="O7" s="63">
        <f>($C$5*[1]Params!K9)</f>
        <v/>
      </c>
      <c r="P7" s="63">
        <f>(O7*N7)</f>
        <v/>
      </c>
      <c r="R7" s="23">
        <f>B7</f>
        <v/>
      </c>
      <c r="S7" s="63">
        <f>(T7/R7)</f>
        <v/>
      </c>
      <c r="T7" s="64">
        <f>D7</f>
        <v/>
      </c>
    </row>
    <row r="8">
      <c r="B8" s="23">
        <f>(-0.2134+N16)</f>
        <v/>
      </c>
      <c r="C8" s="63">
        <f>(D8/B8)</f>
        <v/>
      </c>
      <c r="D8" s="63">
        <f>(-1.27565659-D9)</f>
        <v/>
      </c>
      <c r="N8" s="23">
        <f>2*($B$15+$N$6)/5-$N$6</f>
        <v/>
      </c>
      <c r="O8" s="63">
        <f>($C$5*[1]Params!K10)</f>
        <v/>
      </c>
      <c r="P8" s="63">
        <f>(O8*N8)</f>
        <v/>
      </c>
      <c r="R8" s="23">
        <f>SUM(B8:B10)+B13+B12</f>
        <v/>
      </c>
      <c r="S8" s="63">
        <f>(T8/R8)</f>
        <v/>
      </c>
      <c r="T8" s="63">
        <f>SUM(D8:D10)+D12+D13</f>
        <v/>
      </c>
    </row>
    <row r="9">
      <c r="B9">
        <f>-B7/5</f>
        <v/>
      </c>
      <c r="C9" s="63" t="n">
        <v>5.97777</v>
      </c>
      <c r="D9" s="63">
        <f>(C9*B9)</f>
        <v/>
      </c>
      <c r="N9" s="23">
        <f>2*($B$15+$N$6)/5-$N$6</f>
        <v/>
      </c>
      <c r="O9" s="63">
        <f>($C$5*[1]Params!K11)</f>
        <v/>
      </c>
      <c r="P9" s="63">
        <f>(O9*N9)</f>
        <v/>
      </c>
      <c r="R9" s="23">
        <f>B11-B11</f>
        <v/>
      </c>
      <c r="S9" s="63" t="n">
        <v>0</v>
      </c>
      <c r="T9" s="64">
        <f>D11-B11*5.54</f>
        <v/>
      </c>
    </row>
    <row r="10">
      <c r="B10" s="23" t="n">
        <v>0.21193237</v>
      </c>
      <c r="C10" s="63">
        <f>D10/B10</f>
        <v/>
      </c>
      <c r="D10" s="63" t="n">
        <v>1.07</v>
      </c>
      <c r="N10" s="23" t="n"/>
      <c r="P10" s="63" t="n"/>
      <c r="R10" s="23" t="n"/>
      <c r="S10" s="63" t="n"/>
      <c r="T10" s="64" t="n"/>
    </row>
    <row r="11">
      <c r="B11" s="23" t="n">
        <v>-1.3731</v>
      </c>
      <c r="C11" s="63">
        <f>(D11/B11)</f>
        <v/>
      </c>
      <c r="D11" s="63">
        <f>-9.89434222</f>
        <v/>
      </c>
      <c r="N11" s="23" t="n"/>
      <c r="P11" s="63" t="n"/>
    </row>
    <row r="12">
      <c r="B12" s="23" t="n">
        <v>-1.53</v>
      </c>
      <c r="C12" s="63">
        <f>(D12/B12)</f>
        <v/>
      </c>
      <c r="D12" s="63" t="n">
        <v>-13.78562829</v>
      </c>
      <c r="N12" s="23" t="n"/>
      <c r="P12" s="63">
        <f>(SUM(P6:P9))</f>
        <v/>
      </c>
    </row>
    <row r="13">
      <c r="B13" s="23" t="n">
        <v>1.7</v>
      </c>
      <c r="C13" s="63">
        <f>(D13/B13)</f>
        <v/>
      </c>
      <c r="D13" s="63" t="n">
        <v>12.6519626</v>
      </c>
      <c r="N13" s="23" t="n"/>
      <c r="P13" s="63" t="n"/>
    </row>
    <row r="14">
      <c r="F14" t="inlineStr">
        <is>
          <t>Moy</t>
        </is>
      </c>
      <c r="G14" s="63">
        <f>(D15/B15)</f>
        <v/>
      </c>
      <c r="N14" s="23" t="n"/>
      <c r="P14" s="63" t="n"/>
      <c r="R14" s="23">
        <f>(SUM(R5:R12))</f>
        <v/>
      </c>
      <c r="T14" s="63">
        <f>(SUM(T5:T12))</f>
        <v/>
      </c>
    </row>
    <row r="15">
      <c r="B15">
        <f>(SUM(B5:B14))</f>
        <v/>
      </c>
      <c r="D15" s="63">
        <f>(SUM(D5:D14))</f>
        <v/>
      </c>
    </row>
    <row r="16">
      <c r="N16" s="23" t="n"/>
      <c r="O16" s="63" t="n"/>
      <c r="P16" s="63" t="n"/>
    </row>
    <row r="17">
      <c r="N17" s="23" t="n"/>
      <c r="O17" s="63" t="n"/>
      <c r="P17" s="63" t="n"/>
    </row>
    <row r="18">
      <c r="N18" s="23" t="n"/>
      <c r="O18" s="63" t="n"/>
      <c r="P18" s="63" t="n"/>
    </row>
    <row r="19">
      <c r="N19" s="23" t="n"/>
      <c r="O19" s="63" t="n"/>
      <c r="P19" s="63" t="n"/>
    </row>
    <row r="20">
      <c r="P20" s="63" t="n"/>
    </row>
    <row r="21">
      <c r="P21" s="63" t="n"/>
    </row>
    <row r="22">
      <c r="P22" s="63" t="n"/>
    </row>
    <row r="23"/>
    <row r="24"/>
    <row r="25"/>
    <row r="26"/>
    <row r="27"/>
    <row r="28">
      <c r="G28" s="64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62.54162406785102</v>
      </c>
      <c r="M3" t="inlineStr">
        <is>
          <t>Objectif :</t>
        </is>
      </c>
      <c r="N3" s="23">
        <f>(INDEX(N5:N16,MATCH(MAX(O6),O5:O16,0))/0.85)</f>
        <v/>
      </c>
      <c r="O3" s="64">
        <f>(MAX(O6)*0.75)</f>
        <v/>
      </c>
      <c r="P3" s="8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63" t="n">
        <v>43.03</v>
      </c>
      <c r="D5" s="6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63">
        <f>(T5/R5)</f>
        <v/>
      </c>
      <c r="T5" s="63">
        <f>(D5)</f>
        <v/>
      </c>
    </row>
    <row r="6">
      <c r="B6" s="24" t="n">
        <v>0.00300679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23">
        <f>-B7</f>
        <v/>
      </c>
      <c r="O6" s="63">
        <f>P6/N6</f>
        <v/>
      </c>
      <c r="P6" s="63">
        <f>-D7</f>
        <v/>
      </c>
      <c r="Q6" t="inlineStr">
        <is>
          <t>Done</t>
        </is>
      </c>
      <c r="R6" s="2">
        <f>(B6)</f>
        <v/>
      </c>
      <c r="S6" s="66">
        <f>(T6/R6)</f>
        <v/>
      </c>
      <c r="T6" s="67">
        <f>(D6)</f>
        <v/>
      </c>
    </row>
    <row r="7">
      <c r="B7" t="n">
        <v>-0.02475</v>
      </c>
      <c r="C7" s="63">
        <f>D7/B7</f>
        <v/>
      </c>
      <c r="D7" s="63">
        <f>-1.42154421</f>
        <v/>
      </c>
      <c r="N7" s="23">
        <f>2*($B$13-$B$7)/5+$B$7</f>
        <v/>
      </c>
      <c r="O7" s="63">
        <f>($C$5*[1]Params!K9)</f>
        <v/>
      </c>
      <c r="P7" s="63">
        <f>(O7*N7)</f>
        <v/>
      </c>
      <c r="R7" s="1">
        <f>B7</f>
        <v/>
      </c>
      <c r="S7" s="63" t="n">
        <v>0</v>
      </c>
      <c r="T7" s="63">
        <f>(D7)</f>
        <v/>
      </c>
    </row>
    <row r="8">
      <c r="B8" s="23">
        <f>-0.0247</f>
        <v/>
      </c>
      <c r="C8" s="63">
        <f>D8/B8</f>
        <v/>
      </c>
      <c r="D8" s="63" t="n">
        <v>-1.70058209</v>
      </c>
      <c r="N8" s="23">
        <f>2*($B$13-$B$7)/5+$B$7</f>
        <v/>
      </c>
      <c r="O8" s="63">
        <f>($C$5*[1]Params!K10)</f>
        <v/>
      </c>
      <c r="P8" s="63">
        <f>(O8*N8)</f>
        <v/>
      </c>
      <c r="R8" s="1">
        <f>(B8)+B9</f>
        <v/>
      </c>
      <c r="S8" s="63" t="n">
        <v>0</v>
      </c>
      <c r="T8" s="63">
        <f>(D8)+D9</f>
        <v/>
      </c>
    </row>
    <row r="9">
      <c r="B9" s="23">
        <f>0.02974335</f>
        <v/>
      </c>
      <c r="C9" s="63">
        <f>D9/B9</f>
        <v/>
      </c>
      <c r="D9" s="63" t="n">
        <v>1.706456</v>
      </c>
      <c r="N9" s="23">
        <f>2*($B$13-$B$7)/5+$B$7</f>
        <v/>
      </c>
      <c r="O9" s="63">
        <f>($C$5*[1]Params!K11)</f>
        <v/>
      </c>
      <c r="P9" s="63">
        <f>(O9*N9)</f>
        <v/>
      </c>
      <c r="R9" s="1" t="n"/>
      <c r="S9" s="63" t="n"/>
      <c r="T9" s="63" t="n"/>
    </row>
    <row r="10">
      <c r="R10" s="1" t="n"/>
      <c r="S10" s="63" t="n"/>
      <c r="T10" s="63" t="n"/>
    </row>
    <row r="11">
      <c r="P11" s="63">
        <f>(SUM(P6:P9))</f>
        <v/>
      </c>
      <c r="R11" s="1" t="n"/>
      <c r="S11" s="63" t="n"/>
      <c r="T11" s="64" t="n"/>
    </row>
    <row r="12">
      <c r="F12" t="inlineStr">
        <is>
          <t>Moy</t>
        </is>
      </c>
      <c r="G12" s="63">
        <f>(D13/B13)</f>
        <v/>
      </c>
    </row>
    <row r="13">
      <c r="B13">
        <f>(SUM(B5:B12))</f>
        <v/>
      </c>
      <c r="D13" s="63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63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4" t="n">
        <v>0.2882271684537856</v>
      </c>
      <c r="M3" t="inlineStr">
        <is>
          <t>Objectif :</t>
        </is>
      </c>
      <c r="N3" s="74">
        <f>(INDEX(N5:N29,MATCH(MAX(O6:O8),O5:O29,0))/0.85)</f>
        <v/>
      </c>
      <c r="O3" s="92">
        <f>(MAX(O6:O8)*0.75)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84">
        <f>(D5/B5)</f>
        <v/>
      </c>
      <c r="D5" s="6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4">
        <f>(B5)</f>
        <v/>
      </c>
      <c r="S5" s="63">
        <f>(C5)</f>
        <v/>
      </c>
      <c r="T5" s="63">
        <f>(R5*S5)</f>
        <v/>
      </c>
    </row>
    <row r="6">
      <c r="B6" s="18" t="n">
        <v>-12.25728155</v>
      </c>
      <c r="C6" s="84">
        <f>(D6/B6)</f>
        <v/>
      </c>
      <c r="D6" s="63" t="n">
        <v>-0.983378</v>
      </c>
      <c r="M6" t="inlineStr">
        <is>
          <t>Objectif</t>
        </is>
      </c>
      <c r="N6" s="74">
        <f>(-B6)</f>
        <v/>
      </c>
      <c r="O6" s="63">
        <f>(C6)</f>
        <v/>
      </c>
      <c r="P6" s="63">
        <f>(O6*N6)</f>
        <v/>
      </c>
      <c r="Q6" t="inlineStr">
        <is>
          <t>Done</t>
        </is>
      </c>
      <c r="R6" s="74">
        <f>B6</f>
        <v/>
      </c>
      <c r="S6" s="63">
        <f>(C6)</f>
        <v/>
      </c>
      <c r="T6" s="63">
        <f>D6</f>
        <v/>
      </c>
    </row>
    <row r="7">
      <c r="B7" s="18" t="n">
        <v>-12.70325203</v>
      </c>
      <c r="C7" s="84">
        <f>(D7/B7)</f>
        <v/>
      </c>
      <c r="D7" s="63" t="n">
        <v>-1.217268</v>
      </c>
      <c r="N7" s="74">
        <f>-B11</f>
        <v/>
      </c>
      <c r="O7" s="63">
        <f>($C$5*[1]Params!K9)</f>
        <v/>
      </c>
      <c r="P7" s="63">
        <f>-D11</f>
        <v/>
      </c>
      <c r="Q7" t="inlineStr">
        <is>
          <t>Done</t>
        </is>
      </c>
      <c r="R7" s="74">
        <f>B7+B10+B8+B9</f>
        <v/>
      </c>
      <c r="S7" s="63">
        <f>(C7)</f>
        <v/>
      </c>
      <c r="T7" s="63">
        <f>D7+D10+D8+D9</f>
        <v/>
      </c>
    </row>
    <row r="8">
      <c r="B8" s="18" t="n">
        <v>-12.62063846</v>
      </c>
      <c r="C8" s="84">
        <f>(D8/B8)</f>
        <v/>
      </c>
      <c r="D8" s="63" t="n">
        <v>-1.656203</v>
      </c>
      <c r="N8" s="74">
        <f>3*($B$5+$R$7)/5-N7-N6</f>
        <v/>
      </c>
      <c r="O8" s="63">
        <f>($C$5*[1]Params!K10)</f>
        <v/>
      </c>
      <c r="P8" s="63">
        <f>(O8*N8)</f>
        <v/>
      </c>
      <c r="Q8" t="inlineStr">
        <is>
          <t>Done</t>
        </is>
      </c>
      <c r="R8" s="74">
        <f>B11</f>
        <v/>
      </c>
      <c r="S8" s="63">
        <f>T8/R8</f>
        <v/>
      </c>
      <c r="T8" s="63">
        <f>D11</f>
        <v/>
      </c>
    </row>
    <row r="9">
      <c r="B9" s="18" t="n">
        <v>15.03715876</v>
      </c>
      <c r="C9" s="84">
        <f>(D9/B9)</f>
        <v/>
      </c>
      <c r="D9" s="63" t="n">
        <v>1.549163</v>
      </c>
      <c r="N9" s="74">
        <f>4*($R$5+$R$7)/5+B12-N7-N6</f>
        <v/>
      </c>
      <c r="O9" s="63">
        <f>($C$5*[1]Params!K11)</f>
        <v/>
      </c>
      <c r="P9" s="63">
        <f>(O9*N9)</f>
        <v/>
      </c>
      <c r="R9" s="23">
        <f>B12</f>
        <v/>
      </c>
      <c r="S9" s="63">
        <f>T9/R9</f>
        <v/>
      </c>
      <c r="T9" s="63">
        <f>D12</f>
        <v/>
      </c>
    </row>
    <row r="10">
      <c r="B10" s="18" t="n">
        <v>14.46759533</v>
      </c>
      <c r="C10" s="84">
        <f>(D10/B10)</f>
        <v/>
      </c>
      <c r="D10" s="63" t="n">
        <v>1.150414</v>
      </c>
      <c r="N10" s="74" t="n"/>
      <c r="O10" s="63" t="n"/>
      <c r="P10" s="63" t="n"/>
      <c r="R10" s="23" t="n"/>
      <c r="S10" s="63" t="n"/>
      <c r="T10" s="63" t="n"/>
    </row>
    <row r="11">
      <c r="B11" s="18" t="n">
        <v>-12.55901794</v>
      </c>
      <c r="C11" s="84">
        <f>D11/B11</f>
        <v/>
      </c>
      <c r="D11" s="63">
        <f>-1.294159</f>
        <v/>
      </c>
      <c r="N11" s="74" t="n"/>
      <c r="O11" s="63" t="n"/>
      <c r="P11" s="63">
        <f>(SUM(P6:P9))</f>
        <v/>
      </c>
      <c r="R11" s="23" t="n"/>
      <c r="S11" s="63" t="n"/>
      <c r="T11" s="63" t="n"/>
    </row>
    <row r="12">
      <c r="B12" s="18" t="n">
        <v>-15.85623679</v>
      </c>
      <c r="C12" s="84">
        <f>D12/B12</f>
        <v/>
      </c>
      <c r="D12" s="63" t="n">
        <v>-2.201892</v>
      </c>
      <c r="N12" s="74" t="n"/>
      <c r="O12" s="63" t="n"/>
      <c r="P12" s="63" t="n"/>
      <c r="R12" s="23" t="n"/>
      <c r="S12" s="63" t="n"/>
      <c r="T12" s="63" t="n"/>
    </row>
    <row r="13">
      <c r="C13" s="63" t="n"/>
      <c r="D13" s="63" t="n"/>
      <c r="F13" t="inlineStr">
        <is>
          <t>Moy</t>
        </is>
      </c>
      <c r="G13" s="63">
        <f>(D14/B14)</f>
        <v/>
      </c>
      <c r="O13" s="63" t="n"/>
      <c r="R13" s="23" t="n"/>
      <c r="S13" s="63" t="n"/>
      <c r="T13" s="63" t="n"/>
    </row>
    <row r="14">
      <c r="B14" s="18">
        <f>(SUM(B5:B13))</f>
        <v/>
      </c>
      <c r="C14" s="63" t="n"/>
      <c r="D14" s="63">
        <f>(SUM(D5:D13))</f>
        <v/>
      </c>
      <c r="O14" s="63" t="n"/>
      <c r="R14" s="23" t="n"/>
      <c r="S14" s="63" t="n"/>
      <c r="T14" s="63" t="n"/>
    </row>
    <row r="15">
      <c r="R15" s="23" t="n"/>
      <c r="S15" s="63" t="n"/>
      <c r="T15" s="63" t="n"/>
    </row>
    <row r="16">
      <c r="R16" s="23" t="n"/>
      <c r="S16" s="63" t="n"/>
      <c r="T16" s="63" t="n"/>
    </row>
    <row r="17">
      <c r="R17" s="23" t="n"/>
      <c r="S17" s="63" t="n"/>
      <c r="T17" s="63" t="n"/>
    </row>
    <row r="18">
      <c r="R18" s="23" t="n"/>
      <c r="S18" s="63" t="n"/>
      <c r="T18" s="63" t="n"/>
    </row>
    <row r="19">
      <c r="R19" s="23" t="n"/>
      <c r="S19" s="63" t="n"/>
      <c r="T19" s="63" t="n"/>
    </row>
    <row r="20">
      <c r="R20" s="23" t="n"/>
      <c r="S20" s="63" t="n"/>
      <c r="T20" s="63" t="n"/>
    </row>
    <row r="21">
      <c r="R21" s="23" t="n"/>
      <c r="S21" s="63" t="n"/>
      <c r="T21" s="63" t="n"/>
    </row>
    <row r="22">
      <c r="R22" s="23" t="n"/>
      <c r="S22" s="63" t="n"/>
      <c r="T22" s="63" t="n"/>
    </row>
    <row r="23">
      <c r="R23" s="23" t="n"/>
      <c r="S23" s="63" t="n"/>
      <c r="T23" s="63" t="n"/>
    </row>
    <row r="24">
      <c r="R24" s="23" t="n"/>
      <c r="S24" s="63" t="n"/>
      <c r="T24" s="63" t="n"/>
      <c r="V24" s="64" t="n"/>
    </row>
    <row r="26">
      <c r="S26" s="63" t="n"/>
      <c r="T26" s="63" t="n"/>
    </row>
    <row r="27">
      <c r="L27" s="64" t="n"/>
      <c r="M27" s="64" t="n"/>
      <c r="S27" s="63" t="n"/>
      <c r="T27" s="63" t="n"/>
    </row>
    <row r="28">
      <c r="S28" s="63" t="n"/>
      <c r="T28" s="63" t="n"/>
    </row>
    <row r="29">
      <c r="S29" s="63" t="n"/>
      <c r="T29" s="63" t="n"/>
    </row>
    <row r="30">
      <c r="S30" s="63" t="n"/>
      <c r="T30" s="63" t="n"/>
    </row>
    <row r="31">
      <c r="S31" s="63" t="n"/>
      <c r="T31" s="63" t="n"/>
    </row>
    <row r="32">
      <c r="S32" s="63" t="n"/>
      <c r="T32" s="63" t="n"/>
    </row>
    <row r="33">
      <c r="R33" s="23">
        <f>(SUM(R5:R31))</f>
        <v/>
      </c>
      <c r="S33" s="63" t="n"/>
      <c r="T33" s="63">
        <f>(SUM(T5:T31))</f>
        <v/>
      </c>
      <c r="V33" t="inlineStr">
        <is>
          <t>Moy</t>
        </is>
      </c>
      <c r="W33" s="63">
        <f>(T33/R33)</f>
        <v/>
      </c>
    </row>
    <row r="34">
      <c r="S34" s="63" t="n"/>
      <c r="T34" s="63" t="n"/>
    </row>
    <row r="35">
      <c r="S35" s="63" t="n"/>
      <c r="T35" s="63" t="n"/>
    </row>
    <row r="36">
      <c r="S36" s="63" t="n"/>
      <c r="T36" s="63" t="n"/>
    </row>
    <row r="37">
      <c r="S37" s="63" t="n"/>
      <c r="T37" s="6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13.14921670490126</v>
      </c>
      <c r="M3" t="inlineStr">
        <is>
          <t>Objectif :</t>
        </is>
      </c>
      <c r="N3" s="23">
        <f>(INDEX(N5:N19,MATCH(MAX(O6:O8),O5:O19,0))/0.85)</f>
        <v/>
      </c>
      <c r="O3" s="64">
        <f>(MAX(O6:O8)*0.75)</f>
        <v/>
      </c>
      <c r="P3" s="8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2.52050326</v>
      </c>
      <c r="C5" s="63">
        <f>(D5/B5)</f>
        <v/>
      </c>
      <c r="D5" s="63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63">
        <f>(T5/R5)</f>
        <v/>
      </c>
      <c r="T5" s="63">
        <f>(D5)+(B7)*4.615+(B8)*4.6733+B11*4.7693</f>
        <v/>
      </c>
    </row>
    <row r="6">
      <c r="B6" s="2" t="n">
        <v>0.00237353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23">
        <f>-B7</f>
        <v/>
      </c>
      <c r="O6" s="63">
        <f>P6/N6</f>
        <v/>
      </c>
      <c r="P6" s="63">
        <f>-D7</f>
        <v/>
      </c>
      <c r="Q6" t="inlineStr">
        <is>
          <t>Done</t>
        </is>
      </c>
      <c r="R6" s="2">
        <f>(B6)</f>
        <v/>
      </c>
      <c r="S6" s="66">
        <f>(T6/R6)</f>
        <v/>
      </c>
      <c r="T6" s="67">
        <f>(D6)</f>
        <v/>
      </c>
    </row>
    <row r="7">
      <c r="B7" s="1" t="n">
        <v>-0.442</v>
      </c>
      <c r="C7" s="64">
        <f>D7/B7</f>
        <v/>
      </c>
      <c r="D7" s="63" t="n">
        <v>-2.70607643</v>
      </c>
      <c r="N7" s="23">
        <f>-B8</f>
        <v/>
      </c>
      <c r="O7" s="63">
        <f>P7/N7</f>
        <v/>
      </c>
      <c r="P7" s="63">
        <f>-D8</f>
        <v/>
      </c>
      <c r="Q7" t="inlineStr">
        <is>
          <t>Done</t>
        </is>
      </c>
      <c r="R7" s="1">
        <f>(B7)-B7</f>
        <v/>
      </c>
      <c r="S7" s="63" t="n">
        <v>0</v>
      </c>
      <c r="T7" s="63">
        <f>(D7)-B7*4.615</f>
        <v/>
      </c>
    </row>
    <row r="8">
      <c r="B8" t="n">
        <v>-0.4935</v>
      </c>
      <c r="C8" s="64">
        <f>D8/B8</f>
        <v/>
      </c>
      <c r="D8" s="63" t="n">
        <v>-4.33261604</v>
      </c>
      <c r="N8" s="23">
        <f>-B11</f>
        <v/>
      </c>
      <c r="O8" s="63">
        <f>P8/N8</f>
        <v/>
      </c>
      <c r="P8" s="63">
        <f>-D11</f>
        <v/>
      </c>
      <c r="Q8" t="inlineStr">
        <is>
          <t>Done</t>
        </is>
      </c>
      <c r="R8" s="1">
        <f>(B8)-B8</f>
        <v/>
      </c>
      <c r="S8" s="63" t="n">
        <v>0</v>
      </c>
      <c r="T8" s="63">
        <f>(D8)-B8*4.6733</f>
        <v/>
      </c>
    </row>
    <row r="9">
      <c r="B9" t="n">
        <v>-0.4678</v>
      </c>
      <c r="C9" s="64">
        <f>D9/B9</f>
        <v/>
      </c>
      <c r="D9" s="63" t="n">
        <v>-5.19978057</v>
      </c>
      <c r="N9" s="23">
        <f>B13/2</f>
        <v/>
      </c>
      <c r="O9" s="63">
        <f>($S$5*[1]Params!K11)</f>
        <v/>
      </c>
      <c r="P9" s="63">
        <f>(O9*N9)</f>
        <v/>
      </c>
      <c r="R9" s="1">
        <f>(B9)+B10</f>
        <v/>
      </c>
      <c r="S9" s="63" t="n">
        <v>0</v>
      </c>
      <c r="T9" s="63">
        <f>(D9)+D10</f>
        <v/>
      </c>
      <c r="U9" s="64" t="n"/>
    </row>
    <row r="10">
      <c r="B10" s="1" t="n">
        <v>0.52289021</v>
      </c>
      <c r="C10" s="63">
        <f>(D10/B10)</f>
        <v/>
      </c>
      <c r="D10" s="63" t="n">
        <v>4.91</v>
      </c>
      <c r="R10" s="1">
        <f>B11-B11</f>
        <v/>
      </c>
      <c r="S10" s="63" t="n">
        <v>0</v>
      </c>
      <c r="T10" s="63">
        <f>(D11)-B11*4.7693</f>
        <v/>
      </c>
    </row>
    <row r="11">
      <c r="B11" s="1" t="n">
        <v>-0.53</v>
      </c>
      <c r="C11" s="63">
        <f>(D11/B11)</f>
        <v/>
      </c>
      <c r="D11" s="63">
        <f>-5.68000015</f>
        <v/>
      </c>
      <c r="P11" s="63">
        <f>(SUM(P6:P9))</f>
        <v/>
      </c>
      <c r="R11" s="1" t="n"/>
      <c r="S11" s="63" t="n"/>
      <c r="T11" s="63" t="n"/>
    </row>
    <row r="12">
      <c r="F12" t="inlineStr">
        <is>
          <t>Moy</t>
        </is>
      </c>
      <c r="G12" s="63">
        <f>(D13/B13)</f>
        <v/>
      </c>
      <c r="R12" s="1" t="n"/>
      <c r="S12" s="63" t="n"/>
      <c r="T12" s="63" t="n"/>
    </row>
    <row r="13">
      <c r="B13">
        <f>(SUM(B5:B12))</f>
        <v/>
      </c>
      <c r="D13" s="63">
        <f>(SUM(D5:D12))</f>
        <v/>
      </c>
      <c r="R13" s="1" t="n"/>
      <c r="S13" s="63" t="n"/>
      <c r="T13" s="63" t="n"/>
    </row>
    <row r="14">
      <c r="R14" s="1" t="n"/>
      <c r="S14" s="63" t="n"/>
      <c r="T14" s="64" t="n"/>
    </row>
    <row r="15">
      <c r="P15" s="63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63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G25" sqref="G25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62814.06315777063</v>
      </c>
      <c r="M3" t="inlineStr">
        <is>
          <t>Objectif :</t>
        </is>
      </c>
      <c r="N3">
        <f>(INDEX((N8:N67),MATCH(O3/0.85,O8:O67,0))/0.9)</f>
        <v/>
      </c>
      <c r="O3" s="64">
        <f>(MAX(O8,O16:O18,O48,O24,O32,O40,O56,O64)*0.85)</f>
        <v/>
      </c>
      <c r="P3" s="6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63" t="n">
        <v>41500</v>
      </c>
      <c r="D5" s="63">
        <f>(B5*C5)</f>
        <v/>
      </c>
      <c r="S5" s="23">
        <f>(B5)</f>
        <v/>
      </c>
      <c r="T5" s="63" t="n">
        <v>41500</v>
      </c>
      <c r="U5" s="63">
        <f>(S5*T5)</f>
        <v/>
      </c>
    </row>
    <row r="6">
      <c r="B6" s="24" t="n">
        <v>0.00035702</v>
      </c>
      <c r="C6" s="66" t="n">
        <v>0</v>
      </c>
      <c r="D6" s="67">
        <f>(B6*C6)</f>
        <v/>
      </c>
      <c r="E6" s="63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63" t="n">
        <v>0</v>
      </c>
      <c r="U6" s="63">
        <f>(S6*T6)</f>
        <v/>
      </c>
    </row>
    <row r="7">
      <c r="B7" s="23" t="n">
        <v>0.00051073</v>
      </c>
      <c r="C7" s="63">
        <f>D7/B7</f>
        <v/>
      </c>
      <c r="D7" s="63" t="n">
        <v>15.6</v>
      </c>
      <c r="I7" t="inlineStr">
        <is>
          <t>Difference</t>
        </is>
      </c>
      <c r="J7" s="70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63">
        <f>(U7/S7)</f>
        <v/>
      </c>
      <c r="U7" s="63" t="inlineStr">
        <is>
          <t>15.6</t>
        </is>
      </c>
    </row>
    <row r="8">
      <c r="B8" s="23" t="n">
        <v>0.00491083</v>
      </c>
      <c r="C8" s="63">
        <f>D8/B8</f>
        <v/>
      </c>
      <c r="D8" s="63" t="n">
        <v>105</v>
      </c>
      <c r="I8" t="inlineStr">
        <is>
          <t>Diff in $</t>
        </is>
      </c>
      <c r="J8" s="69">
        <f>(J7*J3)</f>
        <v/>
      </c>
      <c r="M8" t="inlineStr">
        <is>
          <t>Objectif</t>
        </is>
      </c>
      <c r="N8">
        <f>($B$16/5)</f>
        <v/>
      </c>
      <c r="O8" s="63">
        <f>(C26)</f>
        <v/>
      </c>
      <c r="P8" s="69">
        <f>(O8*N8)</f>
        <v/>
      </c>
      <c r="Q8" t="inlineStr">
        <is>
          <t>Done</t>
        </is>
      </c>
      <c r="S8" s="23">
        <f>(B8)</f>
        <v/>
      </c>
      <c r="T8" s="63">
        <f>(U8/S8)</f>
        <v/>
      </c>
      <c r="U8" s="63" t="inlineStr">
        <is>
          <t>105</t>
        </is>
      </c>
    </row>
    <row r="9">
      <c r="B9" s="23" t="n">
        <v>0.002</v>
      </c>
      <c r="C9" s="63">
        <f>D9/B9</f>
        <v/>
      </c>
      <c r="D9" s="63" t="n">
        <v>43.5</v>
      </c>
      <c r="N9">
        <f>($B$16/5)</f>
        <v/>
      </c>
      <c r="O9" s="63">
        <f>($C$16*[1]Params!K16)</f>
        <v/>
      </c>
      <c r="P9" s="69">
        <f>(O9*N9)</f>
        <v/>
      </c>
      <c r="S9" s="23">
        <f>(B9)</f>
        <v/>
      </c>
      <c r="T9" s="63">
        <f>(U9/S9)</f>
        <v/>
      </c>
      <c r="U9" s="63" t="inlineStr">
        <is>
          <t>43.5</t>
        </is>
      </c>
    </row>
    <row r="10">
      <c r="B10" s="23" t="n">
        <v>0.0007</v>
      </c>
      <c r="C10" s="63" t="n">
        <v>20458</v>
      </c>
      <c r="D10" s="63">
        <f>(C10*B10)</f>
        <v/>
      </c>
      <c r="N10">
        <f>($B$16/5)</f>
        <v/>
      </c>
      <c r="O10" s="63">
        <f>($C$16*[1]Params!K17)</f>
        <v/>
      </c>
      <c r="P10" s="69">
        <f>(O10*N10)</f>
        <v/>
      </c>
      <c r="S10" s="23">
        <f>(B10)</f>
        <v/>
      </c>
      <c r="T10" s="63" t="n">
        <v>20458</v>
      </c>
      <c r="U10" s="63">
        <f>(T10*S10)</f>
        <v/>
      </c>
    </row>
    <row r="11">
      <c r="B11" s="23" t="n">
        <v>0.00051</v>
      </c>
      <c r="C11" s="63" t="n">
        <v>19873.31</v>
      </c>
      <c r="D11" s="63">
        <f>(C11*B11)</f>
        <v/>
      </c>
      <c r="N11">
        <f>($B$16/5)</f>
        <v/>
      </c>
      <c r="O11" s="63">
        <f>($C$16*[1]Params!K18)</f>
        <v/>
      </c>
      <c r="P11" s="69">
        <f>(O11*N11)</f>
        <v/>
      </c>
      <c r="S11" s="23">
        <f>(B12)</f>
        <v/>
      </c>
      <c r="T11" s="63" t="n">
        <v>19169.31</v>
      </c>
      <c r="U11" s="63">
        <f>(T11*S11)</f>
        <v/>
      </c>
    </row>
    <row r="12">
      <c r="B12" s="23" t="n">
        <v>0.0006400000000000001</v>
      </c>
      <c r="C12" s="63" t="n">
        <v>19169.31</v>
      </c>
      <c r="D12" s="63">
        <f>(C12*B12)</f>
        <v/>
      </c>
      <c r="S12" s="23">
        <f>(B13+B11+B14)</f>
        <v/>
      </c>
      <c r="T12" s="63">
        <f>(U12/S12)</f>
        <v/>
      </c>
      <c r="U12" s="63">
        <f>(D13+D11+D14)</f>
        <v/>
      </c>
    </row>
    <row r="13">
      <c r="B13" s="23" t="n">
        <v>-0.0005</v>
      </c>
      <c r="C13" s="63" t="n">
        <v>20709.08</v>
      </c>
      <c r="D13" s="63">
        <f>(C13*B13)</f>
        <v/>
      </c>
      <c r="P13" s="69">
        <f>(SUM(P8:P11))</f>
        <v/>
      </c>
      <c r="S13" s="23">
        <f>(B15)</f>
        <v/>
      </c>
      <c r="T13" s="63" t="n">
        <v>18969</v>
      </c>
      <c r="U13" s="63">
        <f>(T13*S13)</f>
        <v/>
      </c>
    </row>
    <row r="14">
      <c r="B14" s="23" t="n">
        <v>0.00054</v>
      </c>
      <c r="C14" s="63" t="n">
        <v>19000</v>
      </c>
      <c r="D14" s="63">
        <f>(C14*B14)</f>
        <v/>
      </c>
      <c r="S14" s="23">
        <f>(B16+B26)</f>
        <v/>
      </c>
      <c r="T14" s="63">
        <f>(U14/S14)</f>
        <v/>
      </c>
      <c r="U14" s="63">
        <f>(D16+D26)</f>
        <v/>
      </c>
    </row>
    <row r="15">
      <c r="B15" s="23" t="n">
        <v>0.00258</v>
      </c>
      <c r="C15" s="63" t="n">
        <v>18969</v>
      </c>
      <c r="D15" s="63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63">
        <f>(U15/S15)</f>
        <v/>
      </c>
      <c r="U15" s="63">
        <f>(D17+D18+D21+D33)</f>
        <v/>
      </c>
    </row>
    <row r="16">
      <c r="B16" s="23" t="n">
        <v>0.00168</v>
      </c>
      <c r="C16" s="63" t="n">
        <v>16620.02</v>
      </c>
      <c r="D16" s="63">
        <f>(C16*B16)</f>
        <v/>
      </c>
      <c r="M16" t="inlineStr">
        <is>
          <t>Objectif</t>
        </is>
      </c>
      <c r="N16">
        <f>($B$17/5)</f>
        <v/>
      </c>
      <c r="O16" s="63">
        <f>(C18)</f>
        <v/>
      </c>
      <c r="P16" s="69">
        <f>(O16*N16)</f>
        <v/>
      </c>
      <c r="Q16" t="inlineStr">
        <is>
          <t>Done</t>
        </is>
      </c>
      <c r="S16" s="23">
        <f>(B19+B27)</f>
        <v/>
      </c>
      <c r="T16" s="63">
        <f>(U16/S16)</f>
        <v/>
      </c>
      <c r="U16" s="63">
        <f>(D19+D27)</f>
        <v/>
      </c>
    </row>
    <row r="17">
      <c r="B17" s="23" t="n">
        <v>0.00092134</v>
      </c>
      <c r="C17" s="63">
        <f>(D17/B17)</f>
        <v/>
      </c>
      <c r="D17" s="63" t="n">
        <v>10.36</v>
      </c>
      <c r="N17">
        <f>($B$17/5)</f>
        <v/>
      </c>
      <c r="O17" s="63">
        <f>(C21)</f>
        <v/>
      </c>
      <c r="P17" s="69">
        <f>(O17*N17)</f>
        <v/>
      </c>
      <c r="Q17" t="inlineStr">
        <is>
          <t>Done</t>
        </is>
      </c>
      <c r="S17" s="23">
        <f>(B20+B28)</f>
        <v/>
      </c>
      <c r="T17" s="63">
        <f>(U17/S17)</f>
        <v/>
      </c>
      <c r="U17" s="63">
        <f>(D20+D28)</f>
        <v/>
      </c>
    </row>
    <row r="18">
      <c r="B18" s="23" t="n">
        <v>-0.00018</v>
      </c>
      <c r="C18" s="63">
        <f>(D18/B18)</f>
        <v/>
      </c>
      <c r="D18" s="63">
        <f>(-2.96)</f>
        <v/>
      </c>
      <c r="N18">
        <f>($B$17/5)</f>
        <v/>
      </c>
      <c r="O18" s="63">
        <f>(C33)</f>
        <v/>
      </c>
      <c r="P18" s="69">
        <f>(O18*N18)</f>
        <v/>
      </c>
      <c r="Q18" t="inlineStr">
        <is>
          <t>Done</t>
        </is>
      </c>
      <c r="S18" s="23">
        <f>(B22+B27)</f>
        <v/>
      </c>
      <c r="T18" s="63">
        <f>(U18/S18)</f>
        <v/>
      </c>
      <c r="U18" s="63">
        <f>(D22+D29)</f>
        <v/>
      </c>
    </row>
    <row r="19">
      <c r="B19" s="23" t="n">
        <v>0.000599999999999999</v>
      </c>
      <c r="C19" s="63">
        <f>(D19/B19)</f>
        <v/>
      </c>
      <c r="D19" s="63" t="n">
        <v>10.02</v>
      </c>
      <c r="F19" s="23" t="n"/>
      <c r="I19" s="64" t="n"/>
      <c r="N19">
        <f>($B$17/5)</f>
        <v/>
      </c>
      <c r="O19" s="63">
        <f>($C$17*[1]Params!K18)</f>
        <v/>
      </c>
      <c r="P19" s="69">
        <f>(O19*N19)</f>
        <v/>
      </c>
      <c r="S19" s="23">
        <f>(B23+B32)</f>
        <v/>
      </c>
      <c r="T19" s="63">
        <f>(U19/S19)</f>
        <v/>
      </c>
      <c r="U19" s="63">
        <f>(D23+17438.6*B32)</f>
        <v/>
      </c>
      <c r="V19" t="inlineStr">
        <is>
          <t>DCA1</t>
        </is>
      </c>
    </row>
    <row r="20">
      <c r="B20" s="23" t="n">
        <v>0.0009133</v>
      </c>
      <c r="C20" s="63">
        <f>(D20/B20)</f>
        <v/>
      </c>
      <c r="D20" s="63" t="n">
        <v>15.6</v>
      </c>
      <c r="S20" s="23">
        <f>(B24+B31)</f>
        <v/>
      </c>
      <c r="T20" s="63">
        <f>(U20/S20)</f>
        <v/>
      </c>
      <c r="U20" s="63">
        <f>(D24+17211.7*B31)</f>
        <v/>
      </c>
      <c r="V20" t="inlineStr">
        <is>
          <t>DCA2</t>
        </is>
      </c>
    </row>
    <row r="21">
      <c r="B21" s="23" t="n">
        <v>-0.000184</v>
      </c>
      <c r="C21" s="63">
        <f>(D21/B21)</f>
        <v/>
      </c>
      <c r="D21" s="63" t="n">
        <v>-3.15</v>
      </c>
      <c r="P21" s="69">
        <f>(SUM(P16:P19))</f>
        <v/>
      </c>
      <c r="S21" s="23">
        <f>(B25+B30)</f>
        <v/>
      </c>
      <c r="T21" s="63">
        <f>(U21/S21)</f>
        <v/>
      </c>
      <c r="U21" s="63">
        <f>(D25+D30)</f>
        <v/>
      </c>
    </row>
    <row r="22">
      <c r="B22" s="23" t="n">
        <v>0.00058</v>
      </c>
      <c r="C22" s="63">
        <f>(D22/B22)</f>
        <v/>
      </c>
      <c r="D22" s="63" t="n">
        <v>9.880000000000001</v>
      </c>
      <c r="S22" s="23">
        <f>(B31-B31)</f>
        <v/>
      </c>
      <c r="T22" s="63" t="n">
        <v>0</v>
      </c>
      <c r="U22" s="63">
        <f>(17211.7*-B31+D31)</f>
        <v/>
      </c>
      <c r="V22" t="inlineStr">
        <is>
          <t>DCA2 1/5</t>
        </is>
      </c>
    </row>
    <row r="23">
      <c r="B23" s="23" t="n">
        <v>0.00765465</v>
      </c>
      <c r="C23" s="63">
        <f>(D23/B23)</f>
        <v/>
      </c>
      <c r="D23" s="63" t="n">
        <v>201.45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63" t="n">
        <v>0</v>
      </c>
      <c r="U23" s="63">
        <f>(17438.6*-B32+D32)</f>
        <v/>
      </c>
      <c r="V23" t="inlineStr">
        <is>
          <t>DCA1 1/5</t>
        </is>
      </c>
    </row>
    <row r="24">
      <c r="B24" s="23" t="n">
        <v>0.00168253</v>
      </c>
      <c r="C24" s="63">
        <f>(D24/B24)</f>
        <v/>
      </c>
      <c r="D24" s="63" t="n">
        <v>45.9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63">
        <f>(C27)</f>
        <v/>
      </c>
      <c r="P24" s="69">
        <f>(O24*N24)</f>
        <v/>
      </c>
      <c r="Q24" t="inlineStr">
        <is>
          <t>Done</t>
        </is>
      </c>
      <c r="S24" s="23">
        <f>(B34)</f>
        <v/>
      </c>
      <c r="T24" s="63">
        <f>(U24/S24)</f>
        <v/>
      </c>
      <c r="U24" s="63">
        <f>(D34)</f>
        <v/>
      </c>
      <c r="V24" t="inlineStr">
        <is>
          <t>DCA3</t>
        </is>
      </c>
    </row>
    <row r="25">
      <c r="B25" s="23" t="n">
        <v>2.97e-05</v>
      </c>
      <c r="C25" s="63">
        <f>(D25/B25)</f>
        <v/>
      </c>
      <c r="D25" s="63" t="n">
        <v>0.5</v>
      </c>
      <c r="N25">
        <f>($B$19/5)</f>
        <v/>
      </c>
      <c r="O25" s="63">
        <f>($C$19*[1]Params!K16)</f>
        <v/>
      </c>
      <c r="P25" s="69">
        <f>(O25*N25)</f>
        <v/>
      </c>
    </row>
    <row r="26">
      <c r="B26" s="23" t="n">
        <v>-0.000336</v>
      </c>
      <c r="C26" s="63">
        <f>(D26/B26)</f>
        <v/>
      </c>
      <c r="D26" s="63">
        <f>(-7.04895293)</f>
        <v/>
      </c>
      <c r="N26">
        <f>($B$19/5)</f>
        <v/>
      </c>
      <c r="O26" s="63">
        <f>($C$19*[1]Params!K17)</f>
        <v/>
      </c>
      <c r="P26" s="69">
        <f>(O26*N26)</f>
        <v/>
      </c>
    </row>
    <row r="27">
      <c r="B27" s="23" t="n">
        <v>-0.00012</v>
      </c>
      <c r="C27" s="63" t="n">
        <v>20900</v>
      </c>
      <c r="D27" s="63">
        <f>(C27*B27)</f>
        <v/>
      </c>
      <c r="N27">
        <f>($B$19/5)</f>
        <v/>
      </c>
      <c r="O27" s="63">
        <f>($C$19*[1]Params!K18)</f>
        <v/>
      </c>
      <c r="P27" s="69">
        <f>(O27*N27)</f>
        <v/>
      </c>
    </row>
    <row r="28">
      <c r="B28" s="23" t="n">
        <v>-0.00018</v>
      </c>
      <c r="C28" s="63" t="n">
        <v>21355</v>
      </c>
      <c r="D28" s="63">
        <f>(B28*C28)</f>
        <v/>
      </c>
    </row>
    <row r="29">
      <c r="B29" s="23" t="n">
        <v>-0.00012</v>
      </c>
      <c r="C29" s="63" t="n">
        <v>21355</v>
      </c>
      <c r="D29" s="63">
        <f>(C29*B29)</f>
        <v/>
      </c>
      <c r="P29" s="69">
        <f>(SUM(P24:P27))</f>
        <v/>
      </c>
    </row>
    <row r="30">
      <c r="B30" s="23">
        <f>(-N64)</f>
        <v/>
      </c>
      <c r="C30" s="63" t="n">
        <v>21560</v>
      </c>
      <c r="D30" s="63">
        <f>(C30*B30)</f>
        <v/>
      </c>
    </row>
    <row r="31">
      <c r="B31" s="23">
        <f>(-0.000058-B30)</f>
        <v/>
      </c>
      <c r="C31" s="63" t="n">
        <v>21560</v>
      </c>
      <c r="D31" s="63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64" t="n"/>
    </row>
    <row r="32">
      <c r="B32" s="23" t="n">
        <v>-0.000342</v>
      </c>
      <c r="C32" s="63">
        <f>(D32/B32)</f>
        <v/>
      </c>
      <c r="D32" s="63" t="n">
        <v>-7.4556</v>
      </c>
      <c r="M32" t="inlineStr">
        <is>
          <t>Objectif</t>
        </is>
      </c>
      <c r="N32">
        <f>($B$20/5)</f>
        <v/>
      </c>
      <c r="O32" s="63">
        <f>(C28)</f>
        <v/>
      </c>
      <c r="P32" s="69">
        <f>(O32*N32)</f>
        <v/>
      </c>
      <c r="Q32" t="inlineStr">
        <is>
          <t>Done</t>
        </is>
      </c>
      <c r="AA32" s="64" t="n"/>
    </row>
    <row r="33">
      <c r="B33" s="23">
        <f>(-0.000184)</f>
        <v/>
      </c>
      <c r="C33" s="63">
        <f>(D33/B33)</f>
        <v/>
      </c>
      <c r="D33" s="63">
        <f>(-4.215072)</f>
        <v/>
      </c>
      <c r="N33">
        <f>($B$20/5)</f>
        <v/>
      </c>
      <c r="O33" s="63">
        <f>($C$20*[1]Params!K16)</f>
        <v/>
      </c>
      <c r="P33" s="69">
        <f>(O33*N33)</f>
        <v/>
      </c>
    </row>
    <row r="34">
      <c r="B34" s="23" t="n">
        <v>0.00218158</v>
      </c>
      <c r="C34" s="63">
        <f>(D34/B34)</f>
        <v/>
      </c>
      <c r="D34" s="63" t="n">
        <v>66.95</v>
      </c>
      <c r="E34" t="inlineStr">
        <is>
          <t>DCA3</t>
        </is>
      </c>
      <c r="N34">
        <f>($B$20/5)</f>
        <v/>
      </c>
      <c r="O34" s="63">
        <f>($C$20*[1]Params!K17)</f>
        <v/>
      </c>
      <c r="P34" s="69">
        <f>(O34*N34)</f>
        <v/>
      </c>
    </row>
    <row r="35">
      <c r="B35" s="23">
        <f>0.00073-0.00000073</f>
        <v/>
      </c>
      <c r="C35" s="63">
        <f>(D35/B35)</f>
        <v/>
      </c>
      <c r="D35" s="63" t="n">
        <v>19.978567</v>
      </c>
      <c r="N35">
        <f>($B$20/5)</f>
        <v/>
      </c>
      <c r="O35" s="63">
        <f>($C$20*[1]Params!K18)</f>
        <v/>
      </c>
      <c r="P35" s="69">
        <f>(O35*N35)</f>
        <v/>
      </c>
    </row>
    <row r="36">
      <c r="B36" s="23">
        <f>-0.00108507+0.0012102/1.001</f>
        <v/>
      </c>
      <c r="C36" s="63" t="n">
        <v>0</v>
      </c>
      <c r="D36" s="63">
        <f>C36*B36</f>
        <v/>
      </c>
      <c r="E36" s="64" t="inlineStr">
        <is>
          <t>ETH/BTC</t>
        </is>
      </c>
    </row>
    <row r="37">
      <c r="B37" s="23" t="n">
        <v>-0.005</v>
      </c>
      <c r="C37" s="63" t="n">
        <v>0</v>
      </c>
      <c r="D37" s="63" t="n">
        <v>0</v>
      </c>
      <c r="E37" s="64" t="inlineStr">
        <is>
          <t>ETH/BTC</t>
        </is>
      </c>
      <c r="F37" t="n">
        <v>0.5298</v>
      </c>
      <c r="P37" s="69">
        <f>(SUM(P32:P35))</f>
        <v/>
      </c>
    </row>
    <row r="38">
      <c r="F38" t="inlineStr">
        <is>
          <t>Moy</t>
        </is>
      </c>
      <c r="G38" s="64">
        <f>(D39/B39)</f>
        <v/>
      </c>
      <c r="S38">
        <f>(SUM(S5:S25))</f>
        <v/>
      </c>
      <c r="U38" s="63">
        <f>(SUM(U5:U25))</f>
        <v/>
      </c>
    </row>
    <row r="39">
      <c r="B39" s="23">
        <f>(SUM(B5:B38))</f>
        <v/>
      </c>
      <c r="D39" s="63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63">
        <f>(C29)</f>
        <v/>
      </c>
      <c r="P40" s="69">
        <f>(O40*N40)</f>
        <v/>
      </c>
      <c r="Q40" t="inlineStr">
        <is>
          <t>Done</t>
        </is>
      </c>
    </row>
    <row r="41">
      <c r="N41">
        <f>($B$22/5)</f>
        <v/>
      </c>
      <c r="O41" s="63">
        <f>($C$22*[1]Params!K16)</f>
        <v/>
      </c>
      <c r="P41" s="69">
        <f>(O41*N41)</f>
        <v/>
      </c>
    </row>
    <row r="42">
      <c r="N42">
        <f>($B$22/5)</f>
        <v/>
      </c>
      <c r="O42" s="63">
        <f>($C$22*[1]Params!K17)</f>
        <v/>
      </c>
      <c r="P42" s="69">
        <f>(O42*N42)</f>
        <v/>
      </c>
    </row>
    <row r="43">
      <c r="N43">
        <f>($B$22/5)</f>
        <v/>
      </c>
      <c r="O43" s="63">
        <f>($C$22*[1]Params!K18)</f>
        <v/>
      </c>
      <c r="P43" s="69">
        <f>(O43*N43)</f>
        <v/>
      </c>
    </row>
    <row r="44"/>
    <row r="45">
      <c r="P45" s="69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63">
        <f>(C32)</f>
        <v/>
      </c>
      <c r="P48" s="69">
        <f>(O48*N48)</f>
        <v/>
      </c>
      <c r="Q48" t="inlineStr">
        <is>
          <t>Done</t>
        </is>
      </c>
    </row>
    <row r="49">
      <c r="N49">
        <f>(2*($S$19+N48)/5-N48)</f>
        <v/>
      </c>
      <c r="O49" s="63">
        <f>($T$19*[1]Params!K16)</f>
        <v/>
      </c>
      <c r="P49" s="69">
        <f>(O49*N49)</f>
        <v/>
      </c>
    </row>
    <row r="50">
      <c r="N50">
        <f>($B$23/5)</f>
        <v/>
      </c>
      <c r="O50" s="63">
        <f>($T$19*[1]Params!K17)</f>
        <v/>
      </c>
      <c r="P50" s="69">
        <f>(O50*N50)</f>
        <v/>
      </c>
    </row>
    <row r="51">
      <c r="N51">
        <f>($B$23/5)</f>
        <v/>
      </c>
      <c r="O51" s="63">
        <f>($T$19*[1]Params!K18)</f>
        <v/>
      </c>
      <c r="P51" s="69">
        <f>(O51*N51)</f>
        <v/>
      </c>
    </row>
    <row r="52"/>
    <row r="53">
      <c r="P53" s="69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63">
        <f>(C31)</f>
        <v/>
      </c>
      <c r="P56" s="69">
        <f>(O56*N56)</f>
        <v/>
      </c>
      <c r="Q56" t="inlineStr">
        <is>
          <t>Done</t>
        </is>
      </c>
    </row>
    <row r="57">
      <c r="N57">
        <f>(2*($S$20+N56)/5-N56)</f>
        <v/>
      </c>
      <c r="O57" s="63">
        <f>($T$20*[1]Params!K16)</f>
        <v/>
      </c>
      <c r="P57" s="69">
        <f>(O57*N57)</f>
        <v/>
      </c>
    </row>
    <row r="58">
      <c r="N58">
        <f>($B$24/5)</f>
        <v/>
      </c>
      <c r="O58" s="63">
        <f>($T$20*[1]Params!K17)</f>
        <v/>
      </c>
      <c r="P58" s="69">
        <f>(O58*N58)</f>
        <v/>
      </c>
    </row>
    <row r="59">
      <c r="N59">
        <f>($B$24/5)</f>
        <v/>
      </c>
      <c r="O59" s="63">
        <f>($T$20*[1]Params!K18)</f>
        <v/>
      </c>
      <c r="P59" s="69">
        <f>(O59*N59)</f>
        <v/>
      </c>
    </row>
    <row r="60"/>
    <row r="61">
      <c r="P61" s="69">
        <f>(SUM(P56:P59))</f>
        <v/>
      </c>
    </row>
    <row r="62"/>
    <row r="63"/>
    <row r="64">
      <c r="O64" s="63" t="n"/>
      <c r="P64" s="69" t="n"/>
    </row>
    <row r="65">
      <c r="O65" s="63" t="n"/>
      <c r="P65" s="69" t="n"/>
    </row>
    <row r="66">
      <c r="O66" s="63" t="n"/>
      <c r="P66" s="69" t="n"/>
    </row>
    <row r="67">
      <c r="O67" s="63" t="n"/>
      <c r="P67" s="69" t="n"/>
    </row>
    <row r="68"/>
    <row r="69">
      <c r="P69" s="69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63">
        <f>($T$24*[1]Params!K15)</f>
        <v/>
      </c>
      <c r="P72" s="69">
        <f>(O72*N72)</f>
        <v/>
      </c>
    </row>
    <row r="73">
      <c r="N73">
        <f>($S$24/5)</f>
        <v/>
      </c>
      <c r="O73" s="63">
        <f>($T$24*[1]Params!K16)</f>
        <v/>
      </c>
      <c r="P73" s="69">
        <f>(O73*N73)</f>
        <v/>
      </c>
    </row>
    <row r="74">
      <c r="N74">
        <f>($S$24/5)</f>
        <v/>
      </c>
      <c r="O74" s="63">
        <f>($T$24*[1]Params!K17)</f>
        <v/>
      </c>
      <c r="P74" s="69">
        <f>(O74*N74)</f>
        <v/>
      </c>
    </row>
    <row r="75">
      <c r="N75">
        <f>($S$24/5)</f>
        <v/>
      </c>
      <c r="O75" s="63">
        <f>($T$24*[1]Params!K18)</f>
        <v/>
      </c>
      <c r="P75" s="69">
        <f>(O75*N75)</f>
        <v/>
      </c>
    </row>
    <row r="76"/>
    <row r="77">
      <c r="P77" s="69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63" t="n">
        <v>0.8726665209206731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(B10*J3)</f>
        <v/>
      </c>
      <c r="K4" s="4">
        <f>(J4/D10-1)</f>
        <v/>
      </c>
    </row>
    <row r="5">
      <c r="B5" s="74" t="n">
        <v>2.924319</v>
      </c>
      <c r="C5" s="63">
        <f>(D5/B5)</f>
        <v/>
      </c>
      <c r="D5" s="6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63" t="n"/>
      <c r="D6" s="63" t="n"/>
      <c r="M6" t="inlineStr">
        <is>
          <t>Objectif</t>
        </is>
      </c>
      <c r="N6" s="23">
        <f>($B$5/5)</f>
        <v/>
      </c>
      <c r="O6" s="63">
        <f>($C$5*[1]Params!K8)</f>
        <v/>
      </c>
      <c r="P6" s="63">
        <f>(O6*N6)</f>
        <v/>
      </c>
    </row>
    <row r="7">
      <c r="B7" s="23" t="n"/>
      <c r="C7" s="63" t="n"/>
      <c r="D7" s="63" t="n"/>
      <c r="N7" s="23">
        <f>($B$5/5)</f>
        <v/>
      </c>
      <c r="O7" s="63">
        <f>($C$5*[1]Params!K9)</f>
        <v/>
      </c>
      <c r="P7" s="63">
        <f>(O7*N7)</f>
        <v/>
      </c>
    </row>
    <row r="8">
      <c r="B8" s="23" t="n"/>
      <c r="C8" s="63" t="n"/>
      <c r="D8" s="63" t="n"/>
      <c r="N8" s="23">
        <f>($B$5/5)</f>
        <v/>
      </c>
      <c r="O8" s="63">
        <f>($C$5*[1]Params!K10)</f>
        <v/>
      </c>
      <c r="P8" s="63">
        <f>(O8*N8)</f>
        <v/>
      </c>
    </row>
    <row r="9">
      <c r="B9" s="23" t="n"/>
      <c r="C9" s="63" t="n"/>
      <c r="D9" s="63" t="n"/>
      <c r="F9" t="inlineStr">
        <is>
          <t>Moy</t>
        </is>
      </c>
      <c r="G9" s="63">
        <f>(D10/B10)</f>
        <v/>
      </c>
      <c r="H9" s="63" t="n"/>
      <c r="N9" s="23">
        <f>($B$5/5)</f>
        <v/>
      </c>
      <c r="O9" s="63">
        <f>($C$5*[1]Params!K11)</f>
        <v/>
      </c>
      <c r="P9" s="63">
        <f>(O9*N9)</f>
        <v/>
      </c>
    </row>
    <row r="10">
      <c r="B10" s="74">
        <f>(SUM(B5:B9))</f>
        <v/>
      </c>
      <c r="C10" s="63" t="n"/>
      <c r="D10" s="63">
        <f>(SUM(D5:D9))</f>
        <v/>
      </c>
      <c r="O10" s="63" t="n"/>
      <c r="P10" s="63" t="n"/>
    </row>
    <row r="11">
      <c r="C11" s="63" t="n"/>
      <c r="D11" s="63" t="n"/>
      <c r="O11" s="63" t="n"/>
      <c r="P11" s="63">
        <f>(SUM(P6:P9))</f>
        <v/>
      </c>
    </row>
    <row r="12">
      <c r="O12" s="63" t="n"/>
      <c r="P12" s="6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3.560811693986734</v>
      </c>
      <c r="M3" t="inlineStr">
        <is>
          <t>Objectif :</t>
        </is>
      </c>
      <c r="N3" s="1">
        <f>(INDEX(N5:N17,MATCH(MAX(O6),O5:O17,0))/0.85)</f>
        <v/>
      </c>
      <c r="O3" s="64">
        <f>(MAX(O6)*0.75)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6.96025417</v>
      </c>
      <c r="C5" s="63">
        <f>(D5/B5)</f>
        <v/>
      </c>
      <c r="D5" s="63" t="n">
        <v>16.02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63">
        <f>(T5/R5)</f>
        <v/>
      </c>
      <c r="T5" s="63">
        <f>(D5)+(B7)*2.1792</f>
        <v/>
      </c>
    </row>
    <row r="6">
      <c r="B6" s="2" t="n">
        <v>0.02067706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1">
        <f>-B7</f>
        <v/>
      </c>
      <c r="O6" s="63">
        <f>P6/N6</f>
        <v/>
      </c>
      <c r="P6" s="63">
        <f>-D7</f>
        <v/>
      </c>
      <c r="Q6" t="inlineStr">
        <is>
          <t>Done</t>
        </is>
      </c>
      <c r="R6" s="2">
        <f>(B6)</f>
        <v/>
      </c>
      <c r="S6" s="66">
        <f>(T6/R6)</f>
        <v/>
      </c>
      <c r="T6" s="67">
        <f>(D6)</f>
        <v/>
      </c>
    </row>
    <row r="7">
      <c r="B7" s="1" t="n">
        <v>-1.193</v>
      </c>
      <c r="C7" s="64">
        <f>D7/B7</f>
        <v/>
      </c>
      <c r="D7" s="63">
        <f>-3.38566736</f>
        <v/>
      </c>
      <c r="N7" s="1">
        <f>2*($B$11+$N$6)/5-$N$6</f>
        <v/>
      </c>
      <c r="O7" s="63">
        <f>($C$5*[1]Params!K9)</f>
        <v/>
      </c>
      <c r="P7" s="63">
        <f>(O7*N7)</f>
        <v/>
      </c>
      <c r="R7" s="1">
        <f>(B7)-B7</f>
        <v/>
      </c>
      <c r="S7" s="63" t="n">
        <v>0</v>
      </c>
      <c r="T7" s="63">
        <f>(D7)-B7*2.1792</f>
        <v/>
      </c>
    </row>
    <row r="8">
      <c r="B8" s="1" t="n">
        <v>-1.19</v>
      </c>
      <c r="C8" s="64">
        <f>D8/B8</f>
        <v/>
      </c>
      <c r="D8" s="63" t="n">
        <v>-4.34436789</v>
      </c>
      <c r="N8" s="1">
        <f>($B$11+$N$6)/5</f>
        <v/>
      </c>
      <c r="O8" s="63">
        <f>($C$5*[1]Params!K10)</f>
        <v/>
      </c>
      <c r="P8" s="63">
        <f>(O8*N8)</f>
        <v/>
      </c>
      <c r="R8" s="1">
        <f>(B8)+B9</f>
        <v/>
      </c>
      <c r="S8" s="63" t="n">
        <v>0</v>
      </c>
      <c r="T8" s="63">
        <f>(D8)+D9</f>
        <v/>
      </c>
      <c r="U8" t="inlineStr">
        <is>
          <t>DCA4*</t>
        </is>
      </c>
    </row>
    <row r="9">
      <c r="B9" s="1" t="n">
        <v>1.40390836</v>
      </c>
      <c r="C9" s="63">
        <f>(D9/B9)</f>
        <v/>
      </c>
      <c r="D9" s="63" t="n">
        <v>3.83</v>
      </c>
      <c r="N9" s="1">
        <f>($B$11+$N$6)/5</f>
        <v/>
      </c>
      <c r="O9" s="63">
        <f>($C$5*[1]Params!K11)</f>
        <v/>
      </c>
      <c r="P9" s="63">
        <f>(O9*N9)</f>
        <v/>
      </c>
      <c r="R9" s="1" t="n"/>
      <c r="S9" s="63" t="n"/>
      <c r="T9" s="63" t="n"/>
    </row>
    <row r="10">
      <c r="F10" t="inlineStr">
        <is>
          <t>Moy</t>
        </is>
      </c>
      <c r="G10" s="63">
        <f>(D11/B11)</f>
        <v/>
      </c>
      <c r="R10" s="1" t="n"/>
      <c r="S10" s="63" t="n"/>
      <c r="T10" s="63" t="n"/>
    </row>
    <row r="11">
      <c r="B11" s="1">
        <f>(SUM(B5:B10))</f>
        <v/>
      </c>
      <c r="D11" s="63">
        <f>(SUM(D5:D10))</f>
        <v/>
      </c>
      <c r="P11" s="63">
        <f>(SUM(P6:P9))</f>
        <v/>
      </c>
      <c r="R11" s="1" t="n"/>
      <c r="S11" s="63" t="n"/>
      <c r="T11" s="63" t="n"/>
    </row>
    <row r="12">
      <c r="R12" s="1" t="n"/>
      <c r="S12" s="63" t="n"/>
      <c r="T12" s="64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63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20.13779851056128</v>
      </c>
      <c r="M3" t="inlineStr">
        <is>
          <t>Objectif :</t>
        </is>
      </c>
      <c r="N3" s="23">
        <f>(INDEX(N5:N16,MATCH(MAX(O6:O8),O5:O16,0))/0.9)</f>
        <v/>
      </c>
      <c r="O3" s="64">
        <f>(MAX(O6:O8)*0.85)</f>
        <v/>
      </c>
      <c r="P3" s="8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1.47992576</v>
      </c>
      <c r="C5" s="63">
        <f>(D5/B5)</f>
        <v/>
      </c>
      <c r="D5" s="63" t="n">
        <v>11.7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63">
        <f>(T5/R5)</f>
        <v/>
      </c>
      <c r="T5" s="63">
        <f>(D5)+(B7+B8+B9)*6.9017</f>
        <v/>
      </c>
    </row>
    <row r="6">
      <c r="B6" s="2" t="n">
        <v>0.00250722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23">
        <f>-B7</f>
        <v/>
      </c>
      <c r="O6" s="63">
        <f>P6/N6</f>
        <v/>
      </c>
      <c r="P6" s="63">
        <f>-D7</f>
        <v/>
      </c>
      <c r="Q6" t="inlineStr">
        <is>
          <t>Done</t>
        </is>
      </c>
      <c r="R6" s="2">
        <f>(B6)</f>
        <v/>
      </c>
      <c r="S6" s="66">
        <f>(T6/R6)</f>
        <v/>
      </c>
      <c r="T6" s="67">
        <f>(D6)</f>
        <v/>
      </c>
    </row>
    <row r="7">
      <c r="B7" s="1" t="n">
        <v>-0.25</v>
      </c>
      <c r="C7" s="63">
        <f>D7/B7</f>
        <v/>
      </c>
      <c r="D7" s="63">
        <f>-2.54970727</f>
        <v/>
      </c>
      <c r="N7" s="23">
        <f>-B8</f>
        <v/>
      </c>
      <c r="O7" s="63">
        <f>C8</f>
        <v/>
      </c>
      <c r="P7" s="63">
        <f>-D8</f>
        <v/>
      </c>
      <c r="Q7" t="inlineStr">
        <is>
          <t>Done</t>
        </is>
      </c>
      <c r="R7" s="1">
        <f>(B7)-B7</f>
        <v/>
      </c>
      <c r="S7" s="63" t="n">
        <v>0</v>
      </c>
      <c r="T7" s="63">
        <f>(D7)-B7*6.9017</f>
        <v/>
      </c>
    </row>
    <row r="8">
      <c r="B8" s="1" t="n">
        <v>-0.27</v>
      </c>
      <c r="C8" s="63">
        <f>D8/B8</f>
        <v/>
      </c>
      <c r="D8" s="63" t="n">
        <v>-3.09156748</v>
      </c>
      <c r="N8" s="23">
        <f>-B9</f>
        <v/>
      </c>
      <c r="O8" s="63">
        <f>P8/N8</f>
        <v/>
      </c>
      <c r="P8" s="63">
        <f>-D9</f>
        <v/>
      </c>
      <c r="Q8" t="inlineStr">
        <is>
          <t>Done</t>
        </is>
      </c>
      <c r="R8" s="1">
        <f>(B8)-B8</f>
        <v/>
      </c>
      <c r="S8" s="63" t="n">
        <v>0</v>
      </c>
      <c r="T8" s="63">
        <f>(D8)-B8*6.9017</f>
        <v/>
      </c>
      <c r="U8" s="64" t="n"/>
    </row>
    <row r="9">
      <c r="B9" s="1" t="n">
        <v>-0.2616</v>
      </c>
      <c r="C9" s="63">
        <f>D9/B9</f>
        <v/>
      </c>
      <c r="D9" s="63">
        <f>-4.0102794</f>
        <v/>
      </c>
      <c r="N9" s="23">
        <f>4*($B$5+B6)/5-N8-N7-N6</f>
        <v/>
      </c>
      <c r="O9" s="63">
        <f>($S$5*[1]Params!K11)</f>
        <v/>
      </c>
      <c r="P9" s="63">
        <f>(O9*N9)</f>
        <v/>
      </c>
      <c r="R9" s="1">
        <f>(B9)-B9</f>
        <v/>
      </c>
      <c r="S9" s="63" t="n">
        <v>0</v>
      </c>
      <c r="T9" s="63">
        <f>(D9)-B9*6.9017</f>
        <v/>
      </c>
      <c r="U9" s="64" t="n"/>
    </row>
    <row r="10">
      <c r="C10" s="63" t="n"/>
      <c r="D10" s="63" t="n"/>
      <c r="F10" t="inlineStr">
        <is>
          <t>Moy</t>
        </is>
      </c>
      <c r="G10" s="63">
        <f>(D11/B11)</f>
        <v/>
      </c>
      <c r="O10" s="63" t="n"/>
      <c r="P10" s="63" t="n"/>
      <c r="R10" s="1" t="n"/>
      <c r="S10" s="63" t="n"/>
      <c r="T10" s="63" t="n"/>
      <c r="U10" s="64" t="n"/>
    </row>
    <row r="11">
      <c r="B11">
        <f>(SUM(B5:B10))</f>
        <v/>
      </c>
      <c r="C11" s="63" t="n"/>
      <c r="D11" s="63">
        <f>(SUM(D5:D10))</f>
        <v/>
      </c>
      <c r="O11" s="63" t="n"/>
      <c r="P11" s="63">
        <f>(SUM(P6:P9))</f>
        <v/>
      </c>
      <c r="R11" s="1" t="n"/>
      <c r="S11" s="63" t="n"/>
      <c r="T11" s="6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6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3" t="n">
        <v>82.36938507573605</v>
      </c>
      <c r="N3" s="23" t="n"/>
      <c r="O3" s="64" t="n"/>
      <c r="P3" s="8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(B15*J3)</f>
        <v/>
      </c>
      <c r="K4" s="4">
        <f>(J4/D15-1)</f>
        <v/>
      </c>
      <c r="O4" s="63" t="n"/>
      <c r="P4" s="6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63">
        <f>(D5/B5)</f>
        <v/>
      </c>
      <c r="D5" s="6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63">
        <f>(T5/R5)</f>
        <v/>
      </c>
      <c r="T5" s="63">
        <f>(D5)</f>
        <v/>
      </c>
    </row>
    <row r="6">
      <c r="B6" s="2" t="n">
        <v>0.00137003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89">
        <f>(SUM(R$5:R$8)/5)</f>
        <v/>
      </c>
      <c r="O6" s="63">
        <f>($C$7*[1]Params!K8)</f>
        <v/>
      </c>
      <c r="P6" s="63">
        <f>(O6*N6)</f>
        <v/>
      </c>
      <c r="R6" s="2">
        <f>(B6)</f>
        <v/>
      </c>
      <c r="S6" s="66">
        <f>(T6/R6)</f>
        <v/>
      </c>
      <c r="T6" s="67">
        <f>(D6)</f>
        <v/>
      </c>
    </row>
    <row r="7">
      <c r="B7" s="1" t="n">
        <v>0.144855</v>
      </c>
      <c r="C7" s="63">
        <f>(D7/B7)</f>
        <v/>
      </c>
      <c r="D7" s="63" t="n">
        <v>9.9673</v>
      </c>
      <c r="N7" s="89">
        <f>(SUM(R$5:R$8)/5)</f>
        <v/>
      </c>
      <c r="O7" s="63">
        <f>($C$7*[1]Params!K9)</f>
        <v/>
      </c>
      <c r="P7" s="63">
        <f>(O7*N7)</f>
        <v/>
      </c>
      <c r="R7" s="1">
        <f>(B7)</f>
        <v/>
      </c>
      <c r="S7" s="63">
        <f>(T7/R7)</f>
        <v/>
      </c>
      <c r="T7" s="63">
        <f>(D7)</f>
        <v/>
      </c>
    </row>
    <row r="8">
      <c r="B8" s="1" t="n">
        <v>-0.0305107</v>
      </c>
      <c r="C8" s="63">
        <f>(D8/B8)</f>
        <v/>
      </c>
      <c r="D8" s="63" t="n">
        <v>-2.78264645</v>
      </c>
      <c r="N8" s="89">
        <f>(SUM(R$5:R$8)/5)</f>
        <v/>
      </c>
      <c r="O8" s="63">
        <f>($C$7*[1]Params!K10)</f>
        <v/>
      </c>
      <c r="P8" s="63">
        <f>(O8*N8)</f>
        <v/>
      </c>
      <c r="R8" s="1">
        <f>(B8+B9)+B11+B12+B10+B13</f>
        <v/>
      </c>
      <c r="S8" s="63" t="n">
        <v>0</v>
      </c>
      <c r="T8" s="63">
        <f>(D8+D9)+D11+D12+D10+D13</f>
        <v/>
      </c>
      <c r="U8" s="64">
        <f>R8*J3-T8</f>
        <v/>
      </c>
    </row>
    <row r="9">
      <c r="B9" s="1" t="n">
        <v>0.03383532</v>
      </c>
      <c r="C9" s="63">
        <f>(D9/B9)</f>
        <v/>
      </c>
      <c r="D9" s="63" t="n">
        <v>2.62</v>
      </c>
      <c r="N9" s="89">
        <f>(SUM(R$5:R$8)/5)</f>
        <v/>
      </c>
      <c r="O9" s="63">
        <f>($C$7*[1]Params!K11)</f>
        <v/>
      </c>
      <c r="P9" s="63">
        <f>(O9*N9)</f>
        <v/>
      </c>
      <c r="R9" s="1" t="n"/>
      <c r="S9" s="63" t="n"/>
      <c r="T9" s="63" t="n"/>
      <c r="U9" s="64" t="n"/>
    </row>
    <row r="10">
      <c r="B10" s="1" t="n">
        <v>-0.031254</v>
      </c>
      <c r="C10" s="63">
        <f>(D10/B10)</f>
        <v/>
      </c>
      <c r="D10" s="63" t="n">
        <v>-2.85198602</v>
      </c>
      <c r="O10" s="63" t="n"/>
      <c r="P10" s="63" t="n"/>
      <c r="R10" s="1" t="n"/>
      <c r="S10" s="63" t="n"/>
      <c r="T10" s="64" t="n"/>
    </row>
    <row r="11">
      <c r="B11" s="1" t="n">
        <v>-0.031261</v>
      </c>
      <c r="C11" s="63">
        <f>(D11/B11)</f>
        <v/>
      </c>
      <c r="D11" s="63" t="n">
        <v>-3.46678924</v>
      </c>
      <c r="O11" s="63" t="n"/>
      <c r="P11" s="63">
        <f>(SUM(P6:P9))</f>
        <v/>
      </c>
    </row>
    <row r="12">
      <c r="B12" s="1" t="n">
        <v>0.03471228</v>
      </c>
      <c r="C12" s="63">
        <f>(D12/B12)</f>
        <v/>
      </c>
      <c r="D12" s="63" t="n">
        <v>3.26</v>
      </c>
      <c r="O12" s="63" t="n"/>
      <c r="P12" s="63" t="n"/>
    </row>
    <row r="13">
      <c r="B13" s="1" t="n">
        <v>0.03497402</v>
      </c>
      <c r="C13" s="63">
        <f>(D13/B13)</f>
        <v/>
      </c>
      <c r="D13" s="63" t="n">
        <v>2.693</v>
      </c>
      <c r="O13" s="63" t="n"/>
      <c r="P13" s="63" t="n"/>
    </row>
    <row r="14">
      <c r="F14" t="inlineStr">
        <is>
          <t>Moy</t>
        </is>
      </c>
      <c r="G14" s="63">
        <f>(D15/B15)</f>
        <v/>
      </c>
    </row>
    <row r="15">
      <c r="B15" s="1">
        <f>(SUM(B5:B14))</f>
        <v/>
      </c>
      <c r="D15" s="63">
        <f>(SUM(D5:D14))</f>
        <v/>
      </c>
    </row>
    <row r="16"/>
    <row r="17"/>
    <row r="18"/>
    <row r="19"/>
    <row r="20"/>
    <row r="21">
      <c r="R21">
        <f>(SUM(R5:R20))</f>
        <v/>
      </c>
      <c r="T21" s="6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6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0.758027344635119</v>
      </c>
      <c r="M3" t="inlineStr">
        <is>
          <t>Objectif :</t>
        </is>
      </c>
      <c r="N3" s="75">
        <f>-B7</f>
        <v/>
      </c>
      <c r="O3" s="72" t="n">
        <v>0</v>
      </c>
      <c r="P3" s="63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(B23*J3)</f>
        <v/>
      </c>
    </row>
    <row r="5">
      <c r="B5" t="n">
        <v>3.25270461</v>
      </c>
      <c r="C5" s="63" t="n">
        <v>0</v>
      </c>
      <c r="D5" s="63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90" t="n">
        <v>0.05870622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 :</t>
        </is>
      </c>
      <c r="N6" s="89">
        <f>B21</f>
        <v/>
      </c>
      <c r="O6" s="72">
        <f>(C21*2)</f>
        <v/>
      </c>
      <c r="P6" s="63">
        <f>(N6*O6)</f>
        <v/>
      </c>
    </row>
    <row r="7">
      <c r="B7" s="89">
        <f>-3.25700016-0.002</f>
        <v/>
      </c>
      <c r="C7" s="63">
        <f>(D7/B7)</f>
        <v/>
      </c>
      <c r="D7" s="63" t="n">
        <v>-5.39743191</v>
      </c>
    </row>
    <row r="8">
      <c r="B8" t="n">
        <v>0.31639059</v>
      </c>
      <c r="C8" s="63" t="n">
        <v>0</v>
      </c>
      <c r="D8" s="63">
        <f>(B8*C8)</f>
        <v/>
      </c>
    </row>
    <row r="9">
      <c r="B9" t="n">
        <v>0.31639059</v>
      </c>
      <c r="C9" s="63" t="n">
        <v>0</v>
      </c>
      <c r="D9" s="63">
        <f>(B9*C9)</f>
        <v/>
      </c>
      <c r="N9" s="20" t="n"/>
      <c r="O9" s="72" t="n"/>
      <c r="P9" s="63" t="n"/>
    </row>
    <row r="10">
      <c r="B10" t="n">
        <v>0.31639059</v>
      </c>
      <c r="C10" s="63" t="n">
        <v>0</v>
      </c>
      <c r="D10" s="63">
        <f>(B10*C10)</f>
        <v/>
      </c>
      <c r="O10" s="72" t="n"/>
    </row>
    <row r="11">
      <c r="B11" t="n">
        <v>0.31639059</v>
      </c>
      <c r="C11" s="63" t="n">
        <v>0</v>
      </c>
      <c r="D11" s="63">
        <f>(B11*C11)</f>
        <v/>
      </c>
    </row>
    <row r="12">
      <c r="B12" t="n">
        <v>0.31639059</v>
      </c>
      <c r="C12" s="63" t="n">
        <v>0</v>
      </c>
      <c r="D12" s="63">
        <f>(B12*C12)</f>
        <v/>
      </c>
    </row>
    <row r="13">
      <c r="B13" t="n">
        <v>0.31639059</v>
      </c>
      <c r="C13" s="63" t="n">
        <v>0</v>
      </c>
      <c r="D13" s="63">
        <f>(B13*C13)</f>
        <v/>
      </c>
    </row>
    <row r="14">
      <c r="B14" t="n">
        <v>0.31639059</v>
      </c>
      <c r="C14" s="63" t="n">
        <v>0</v>
      </c>
      <c r="D14" s="63">
        <f>(B14*C14)</f>
        <v/>
      </c>
    </row>
    <row r="15">
      <c r="B15" t="n">
        <v>0.31639059</v>
      </c>
      <c r="C15" s="63" t="n">
        <v>0</v>
      </c>
      <c r="D15" s="63">
        <f>(B15*C15)</f>
        <v/>
      </c>
    </row>
    <row r="16">
      <c r="B16" t="n">
        <v>0.31639059</v>
      </c>
      <c r="C16" s="63" t="n">
        <v>0</v>
      </c>
      <c r="D16" s="63">
        <f>(B16*C16)</f>
        <v/>
      </c>
    </row>
    <row r="17">
      <c r="B17" t="n">
        <v>0.31639059</v>
      </c>
      <c r="C17" s="63" t="n">
        <v>0</v>
      </c>
      <c r="D17" s="63">
        <f>(B17*C17)</f>
        <v/>
      </c>
    </row>
    <row r="18">
      <c r="B18" t="n">
        <v>0.31639059</v>
      </c>
      <c r="C18" s="63" t="n">
        <v>0</v>
      </c>
      <c r="D18" s="63">
        <f>(B18*C18)</f>
        <v/>
      </c>
    </row>
    <row r="19">
      <c r="B19" t="n">
        <v>0.31639059</v>
      </c>
      <c r="C19" s="63" t="n">
        <v>0</v>
      </c>
      <c r="D19" s="63">
        <f>(B19*C19)</f>
        <v/>
      </c>
    </row>
    <row r="20">
      <c r="B20" t="n">
        <v>0.31639059</v>
      </c>
      <c r="C20" s="63" t="n">
        <v>0</v>
      </c>
      <c r="D20" s="63">
        <f>(B20*C20)</f>
        <v/>
      </c>
    </row>
    <row r="21">
      <c r="B21" s="89" t="n">
        <v>3.25</v>
      </c>
      <c r="C21" s="63">
        <f>D21/B21</f>
        <v/>
      </c>
      <c r="D21" s="63" t="n">
        <v>2.31819162</v>
      </c>
    </row>
    <row r="22"/>
    <row r="23">
      <c r="B23">
        <f>(SUM(B5:B22))</f>
        <v/>
      </c>
      <c r="D23" s="63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2" t="n">
        <v>0.0001492261537490401</v>
      </c>
      <c r="M3" t="inlineStr">
        <is>
          <t>Objectif :</t>
        </is>
      </c>
      <c r="N3" s="75">
        <f>400000*1.01-B40</f>
        <v/>
      </c>
      <c r="O3" s="72" t="n">
        <v>0</v>
      </c>
      <c r="P3" s="63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4" t="n">
        <v>0.2363634506</v>
      </c>
      <c r="C5" s="72" t="n">
        <v>115.55</v>
      </c>
      <c r="D5" s="63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4">
        <f>(B5)</f>
        <v/>
      </c>
      <c r="S5" s="72" t="n">
        <v>115.55</v>
      </c>
      <c r="T5" s="63">
        <f>(R5*S5)</f>
        <v/>
      </c>
    </row>
    <row r="6">
      <c r="B6" s="74" t="n">
        <v>0.3</v>
      </c>
      <c r="C6" s="72" t="n">
        <v>91.3</v>
      </c>
      <c r="D6" s="63">
        <f>(B6*C6)</f>
        <v/>
      </c>
      <c r="M6" t="inlineStr">
        <is>
          <t>Objectif :</t>
        </is>
      </c>
      <c r="N6">
        <f>B38/1.5</f>
        <v/>
      </c>
      <c r="O6" s="72">
        <f>C38*2</f>
        <v/>
      </c>
      <c r="P6" s="64">
        <f>O6*N6</f>
        <v/>
      </c>
      <c r="R6" s="74">
        <f>(B6)</f>
        <v/>
      </c>
      <c r="S6" s="72" t="n">
        <v>91.3</v>
      </c>
      <c r="T6" s="63">
        <f>(R6*S6)</f>
        <v/>
      </c>
    </row>
    <row r="7">
      <c r="B7" s="74" t="n">
        <v>2.79041387</v>
      </c>
      <c r="C7" s="72" t="n">
        <v>6.5</v>
      </c>
      <c r="D7" s="63">
        <f>(B7*C7)</f>
        <v/>
      </c>
      <c r="N7">
        <f>(INDEX(B5:B17,MATCH(O7/2,C5:C17,0)))</f>
        <v/>
      </c>
      <c r="O7" s="72">
        <f>(MIN(C5:C8,C14:C16)*2)</f>
        <v/>
      </c>
      <c r="P7" s="63">
        <f>(N7*O7)</f>
        <v/>
      </c>
      <c r="R7" s="74">
        <f>(B7)</f>
        <v/>
      </c>
      <c r="S7" s="72" t="n">
        <v>6.5</v>
      </c>
      <c r="T7" s="63">
        <f>(R7*S7)</f>
        <v/>
      </c>
    </row>
    <row r="8">
      <c r="B8" s="74" t="n">
        <v>722</v>
      </c>
      <c r="C8" s="72">
        <f>(D8/B8)</f>
        <v/>
      </c>
      <c r="D8" s="63" t="n">
        <v>15</v>
      </c>
      <c r="N8" s="21">
        <f>B40/4</f>
        <v/>
      </c>
      <c r="O8" s="72" t="n">
        <v>0.0005</v>
      </c>
      <c r="P8" s="63">
        <f>(N8*O8)</f>
        <v/>
      </c>
      <c r="R8" s="74">
        <f>(B8)</f>
        <v/>
      </c>
      <c r="S8" s="72">
        <f>(T8/R8)</f>
        <v/>
      </c>
      <c r="T8" s="63" t="n">
        <v>15</v>
      </c>
    </row>
    <row r="9">
      <c r="B9" s="74">
        <f>(891400)</f>
        <v/>
      </c>
      <c r="C9" s="72">
        <f>(D9/B9)</f>
        <v/>
      </c>
      <c r="D9" s="63" t="n">
        <v>10</v>
      </c>
      <c r="R9" s="74">
        <f>(B9)</f>
        <v/>
      </c>
      <c r="S9" s="72">
        <f>(T9/R9)</f>
        <v/>
      </c>
      <c r="T9" s="63" t="n">
        <v>10</v>
      </c>
    </row>
    <row r="10">
      <c r="B10" s="74" t="n">
        <v>-200000</v>
      </c>
      <c r="C10" s="72">
        <f>(D10/B10)</f>
        <v/>
      </c>
      <c r="D10" s="63" t="n">
        <v>-12</v>
      </c>
      <c r="O10" s="72" t="n"/>
      <c r="R10" s="74">
        <f>(B10)</f>
        <v/>
      </c>
      <c r="S10" s="72">
        <f>(T10/R10)</f>
        <v/>
      </c>
      <c r="T10" s="63" t="n">
        <v>-12</v>
      </c>
    </row>
    <row r="11">
      <c r="B11" s="74" t="n">
        <v>-43873</v>
      </c>
      <c r="C11" s="72">
        <f>(D11/B11)</f>
        <v/>
      </c>
      <c r="D11" s="63" t="n">
        <v>-10</v>
      </c>
      <c r="R11" s="74">
        <f>(B11)</f>
        <v/>
      </c>
      <c r="S11" s="72">
        <f>(T11/R11)</f>
        <v/>
      </c>
      <c r="T11" s="63" t="n">
        <v>-10</v>
      </c>
    </row>
    <row r="12">
      <c r="B12" s="74" t="n">
        <v>-20000</v>
      </c>
      <c r="C12" s="72">
        <f>(D12/B12)</f>
        <v/>
      </c>
      <c r="D12" s="63" t="n">
        <v>-10</v>
      </c>
      <c r="R12" s="74">
        <f>(B12)</f>
        <v/>
      </c>
      <c r="S12" s="72">
        <f>(T12/R12)</f>
        <v/>
      </c>
      <c r="T12" s="63" t="n">
        <v>-10</v>
      </c>
    </row>
    <row r="13">
      <c r="B13" s="74" t="n">
        <v>-66800</v>
      </c>
      <c r="C13" s="72">
        <f>(D13/B13)</f>
        <v/>
      </c>
      <c r="D13" s="63" t="n">
        <v>-33.4</v>
      </c>
      <c r="R13" s="74">
        <f>(B13+B14+B15+B16)</f>
        <v/>
      </c>
      <c r="S13" s="72">
        <f>(T13/R13)</f>
        <v/>
      </c>
      <c r="T13" s="63">
        <f>(D13+D15+D14+D16)</f>
        <v/>
      </c>
    </row>
    <row r="14">
      <c r="B14" s="74" t="n">
        <v>22223</v>
      </c>
      <c r="C14" s="72">
        <f>(D14/B14)</f>
        <v/>
      </c>
      <c r="D14" s="63" t="n">
        <v>10.00035</v>
      </c>
      <c r="R14" s="74">
        <f>(B17)</f>
        <v/>
      </c>
      <c r="S14" s="72" t="n">
        <v>0.0001</v>
      </c>
      <c r="T14" s="63">
        <f>(S14*R14)</f>
        <v/>
      </c>
    </row>
    <row r="15">
      <c r="B15" s="74" t="n">
        <v>48000</v>
      </c>
      <c r="C15" s="72">
        <f>(D15/B15)</f>
        <v/>
      </c>
      <c r="D15" s="63" t="n">
        <v>18</v>
      </c>
      <c r="R15" s="86">
        <f>(B18)</f>
        <v/>
      </c>
      <c r="S15" s="66" t="n">
        <v>0</v>
      </c>
      <c r="T15" s="67">
        <f>(R15*S15)</f>
        <v/>
      </c>
    </row>
    <row r="16">
      <c r="B16" s="74" t="n">
        <v>40000</v>
      </c>
      <c r="C16" s="72">
        <f>(D16/B16)</f>
        <v/>
      </c>
      <c r="D16" s="63" t="n">
        <v>10</v>
      </c>
      <c r="R16" s="74">
        <f>(B19)</f>
        <v/>
      </c>
      <c r="S16" s="72" t="n">
        <v>0.0001829</v>
      </c>
      <c r="T16" s="63">
        <f>(S16*R16)</f>
        <v/>
      </c>
    </row>
    <row r="17">
      <c r="B17" s="74" t="n">
        <v>-150000</v>
      </c>
      <c r="C17" s="72" t="n">
        <v>0.0001</v>
      </c>
      <c r="D17" s="63">
        <f>(C17*B17)</f>
        <v/>
      </c>
      <c r="R17" s="74">
        <f>(B20)</f>
        <v/>
      </c>
      <c r="S17" s="72" t="n">
        <v>0.0001828</v>
      </c>
      <c r="T17" s="63">
        <f>(S17*R17)</f>
        <v/>
      </c>
    </row>
    <row r="18">
      <c r="B18" s="86" t="n">
        <v>5071.50277339</v>
      </c>
      <c r="C18" s="66" t="n">
        <v>0</v>
      </c>
      <c r="D18" s="67">
        <f>(B18*C18)</f>
        <v/>
      </c>
      <c r="E18" s="63">
        <f>(B18*J3)</f>
        <v/>
      </c>
      <c r="R18" s="74">
        <f>(B21)</f>
        <v/>
      </c>
      <c r="S18" s="72">
        <f>(T18/R18)</f>
        <v/>
      </c>
      <c r="T18" s="63" t="n">
        <v>-10.875</v>
      </c>
    </row>
    <row r="19">
      <c r="B19" s="74" t="n">
        <v>-60293.19</v>
      </c>
      <c r="C19" s="72" t="n">
        <v>0.0001829</v>
      </c>
      <c r="D19" s="63">
        <f>(C19*B19)</f>
        <v/>
      </c>
      <c r="R19" s="74">
        <f>(B22)</f>
        <v/>
      </c>
      <c r="S19" s="72">
        <f>(T19/R19)</f>
        <v/>
      </c>
      <c r="T19" s="63" t="n">
        <v>-15.777</v>
      </c>
    </row>
    <row r="20">
      <c r="B20" s="74" t="n">
        <v>-41141.35</v>
      </c>
      <c r="C20" s="72" t="n">
        <v>0.0001828</v>
      </c>
      <c r="D20" s="63">
        <f>(C20*B20)</f>
        <v/>
      </c>
      <c r="N20" s="74" t="n"/>
      <c r="R20" s="74">
        <f>(B23)</f>
        <v/>
      </c>
      <c r="S20" s="72">
        <f>(T20/R20)</f>
        <v/>
      </c>
      <c r="T20" s="63" t="n">
        <v>-12.7</v>
      </c>
    </row>
    <row r="21">
      <c r="B21" s="74" t="n">
        <v>-26969.34</v>
      </c>
      <c r="C21" s="72">
        <f>(D21/B21)</f>
        <v/>
      </c>
      <c r="D21" s="63" t="n">
        <v>-10.875</v>
      </c>
      <c r="R21" s="74">
        <f>(B24+B25+B26)</f>
        <v/>
      </c>
      <c r="S21" s="72">
        <f>(T21/R21)</f>
        <v/>
      </c>
      <c r="T21" s="63">
        <f>(D24+D25+D26)</f>
        <v/>
      </c>
    </row>
    <row r="22">
      <c r="B22" s="74" t="n">
        <v>-39131.89</v>
      </c>
      <c r="C22" s="72">
        <f>(D22/B22)</f>
        <v/>
      </c>
      <c r="D22" s="63" t="n">
        <v>-15.777</v>
      </c>
      <c r="R22" s="74">
        <f>(B27+B28)</f>
        <v/>
      </c>
      <c r="S22" s="72" t="n">
        <v>0</v>
      </c>
      <c r="T22" s="63">
        <f>(D27+D28)</f>
        <v/>
      </c>
    </row>
    <row r="23">
      <c r="B23" s="74" t="n">
        <v>-31019.52</v>
      </c>
      <c r="C23" s="72">
        <f>(D23/B23)</f>
        <v/>
      </c>
      <c r="D23" s="63" t="n">
        <v>-12.7</v>
      </c>
      <c r="R23" s="74">
        <f>(B29+B30)</f>
        <v/>
      </c>
      <c r="S23" s="72" t="n">
        <v>0</v>
      </c>
      <c r="T23" s="63">
        <f>(D29+D30)</f>
        <v/>
      </c>
    </row>
    <row r="24">
      <c r="B24" s="74" t="n">
        <v>-20035.65</v>
      </c>
      <c r="C24" s="72">
        <f>(D24/B24)</f>
        <v/>
      </c>
      <c r="D24" s="63" t="n">
        <v>-11.12</v>
      </c>
      <c r="R24" s="74">
        <f>(B31+B32)</f>
        <v/>
      </c>
      <c r="S24" s="72" t="n">
        <v>0</v>
      </c>
      <c r="T24" s="63">
        <f>(D31+D32)</f>
        <v/>
      </c>
    </row>
    <row r="25">
      <c r="B25" s="74">
        <f>(15252.99-15.25299)</f>
        <v/>
      </c>
      <c r="C25" s="72" t="n">
        <v>0.00051739</v>
      </c>
      <c r="D25" s="63">
        <f>(B25*C25)</f>
        <v/>
      </c>
      <c r="N25" s="74" t="n"/>
      <c r="R25" s="74">
        <f>(B33+B34+B35)</f>
        <v/>
      </c>
      <c r="S25" s="72" t="n">
        <v>0</v>
      </c>
      <c r="T25" s="63">
        <f>(D33+D34+D35)</f>
        <v/>
      </c>
    </row>
    <row r="26">
      <c r="B26" s="74">
        <f>(4747.01-4.74701)</f>
        <v/>
      </c>
      <c r="C26" s="72" t="n">
        <v>0.00051738</v>
      </c>
      <c r="D26" s="63">
        <f>(B26*C26)</f>
        <v/>
      </c>
      <c r="R26" s="74">
        <f>B38+B37+B36</f>
        <v/>
      </c>
      <c r="S26" s="72" t="n">
        <v>0</v>
      </c>
      <c r="T26" s="64">
        <f>D38+D37+D36</f>
        <v/>
      </c>
    </row>
    <row r="27">
      <c r="B27" s="74" t="n">
        <v>-40000</v>
      </c>
      <c r="C27" s="72">
        <f>(D27/B27)</f>
        <v/>
      </c>
      <c r="D27" s="63" t="n">
        <v>-12.44</v>
      </c>
      <c r="R27" s="74" t="n"/>
      <c r="S27" s="72" t="n"/>
      <c r="T27" s="64" t="n"/>
    </row>
    <row r="28">
      <c r="B28" s="74" t="n">
        <v>40000</v>
      </c>
      <c r="C28" s="72">
        <f>(D28/B28)</f>
        <v/>
      </c>
      <c r="D28" s="63" t="n">
        <v>10</v>
      </c>
    </row>
    <row r="29">
      <c r="B29" s="74" t="n">
        <v>-40000</v>
      </c>
      <c r="C29" s="72">
        <f>(D29/B29)</f>
        <v/>
      </c>
      <c r="D29" s="63" t="n">
        <v>-12.39</v>
      </c>
    </row>
    <row r="30">
      <c r="B30" s="74" t="n">
        <v>44000</v>
      </c>
      <c r="C30" s="72">
        <f>(D30/B30)</f>
        <v/>
      </c>
      <c r="D30" s="63" t="n">
        <v>10.42</v>
      </c>
    </row>
    <row r="31">
      <c r="B31" s="74" t="n">
        <v>-270017.67672339</v>
      </c>
      <c r="C31" s="72">
        <f>(D31/B31)</f>
        <v/>
      </c>
      <c r="D31" s="63" t="n">
        <v>-48.19233598</v>
      </c>
    </row>
    <row r="32">
      <c r="B32" s="74">
        <f>(272743.3*0.99)</f>
        <v/>
      </c>
      <c r="C32" s="72">
        <f>(D32/B32)</f>
        <v/>
      </c>
      <c r="D32" s="63" t="n">
        <v>34.21</v>
      </c>
      <c r="E32" s="64" t="n"/>
    </row>
    <row r="33">
      <c r="B33" s="74" t="n">
        <v>-33998.23</v>
      </c>
      <c r="C33" s="72">
        <f>(D33/B33)</f>
        <v/>
      </c>
      <c r="D33" s="63" t="n">
        <v>-6.45</v>
      </c>
    </row>
    <row r="34">
      <c r="B34" s="74" t="n">
        <v>-20001.77</v>
      </c>
      <c r="C34" s="72">
        <f>(D34/B34)</f>
        <v/>
      </c>
      <c r="D34" s="63" t="n">
        <v>-3.795</v>
      </c>
    </row>
    <row r="35">
      <c r="B35" s="74">
        <f>(62154.32-62.15432)</f>
        <v/>
      </c>
      <c r="C35" s="72">
        <f>(D35/B35)</f>
        <v/>
      </c>
      <c r="D35" s="63" t="n">
        <v>10.1</v>
      </c>
      <c r="E35" s="63" t="n"/>
    </row>
    <row r="36">
      <c r="B36" s="74" t="n">
        <v>-62000</v>
      </c>
      <c r="C36" s="72">
        <f>(D36/B36)</f>
        <v/>
      </c>
      <c r="D36" s="63" t="n">
        <v>-16.02484919</v>
      </c>
      <c r="E36" s="63" t="n"/>
    </row>
    <row r="37">
      <c r="B37" s="74" t="n">
        <v>-150000</v>
      </c>
      <c r="C37" s="72">
        <f>(D37/B37)</f>
        <v/>
      </c>
      <c r="D37" s="63" t="n">
        <v>-38.50217554</v>
      </c>
      <c r="E37" s="63" t="n"/>
    </row>
    <row r="38">
      <c r="B38" s="74" t="n">
        <v>276000</v>
      </c>
      <c r="C38" s="72">
        <f>(D38/B38)</f>
        <v/>
      </c>
      <c r="D38" s="63">
        <f>25.11510651</f>
        <v/>
      </c>
      <c r="E38" s="63">
        <f>B38*$J$3</f>
        <v/>
      </c>
    </row>
    <row r="39"/>
    <row r="40">
      <c r="B40">
        <f>(SUM(B5:B39))</f>
        <v/>
      </c>
      <c r="D40" s="63">
        <f>(SUM(D5:D39))</f>
        <v/>
      </c>
      <c r="F40" t="inlineStr">
        <is>
          <t>Moy</t>
        </is>
      </c>
      <c r="G40" s="72">
        <f>(D40/B40)</f>
        <v/>
      </c>
      <c r="R40">
        <f>(SUM(R5:R39))</f>
        <v/>
      </c>
      <c r="T40" s="63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3" t="n">
        <v>1.044927566587358</v>
      </c>
      <c r="N3" s="18" t="n"/>
      <c r="O3" s="64" t="n"/>
      <c r="P3" s="6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(B18*J3)</f>
        <v/>
      </c>
      <c r="K4" s="4">
        <f>(J4/D18-1)</f>
        <v/>
      </c>
      <c r="O4" s="63" t="n"/>
      <c r="P4" s="6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63">
        <f>(D5/B5)</f>
        <v/>
      </c>
      <c r="D5" s="6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63">
        <f>(T5/R5)</f>
        <v/>
      </c>
      <c r="T5" s="63">
        <f>D5</f>
        <v/>
      </c>
    </row>
    <row r="6">
      <c r="B6" s="19" t="n">
        <v>0.33079316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18">
        <f>($B$7+$R$9+$R$6)/5</f>
        <v/>
      </c>
      <c r="O6" s="63">
        <f>($S$7*[1]Params!K8)</f>
        <v/>
      </c>
      <c r="P6" s="63">
        <f>(O6*N6)</f>
        <v/>
      </c>
      <c r="R6" s="86">
        <f>(B6)</f>
        <v/>
      </c>
      <c r="S6" s="66" t="n">
        <v>0</v>
      </c>
      <c r="T6" s="67">
        <f>(D6)</f>
        <v/>
      </c>
      <c r="U6" s="63">
        <f>(R6*J3)</f>
        <v/>
      </c>
    </row>
    <row r="7">
      <c r="B7" s="18" t="n">
        <v>50.35525816</v>
      </c>
      <c r="C7" s="63">
        <f>(D7/B7)</f>
        <v/>
      </c>
      <c r="D7" s="63" t="n">
        <v>45.9</v>
      </c>
      <c r="E7" t="inlineStr">
        <is>
          <t>DCA2</t>
        </is>
      </c>
      <c r="N7" s="18">
        <f>($B$7+$R$9+$R$6)/5</f>
        <v/>
      </c>
      <c r="O7" s="63">
        <f>($S$7*[1]Params!K9)</f>
        <v/>
      </c>
      <c r="P7" s="63">
        <f>(O7*N7)</f>
        <v/>
      </c>
      <c r="R7" s="18">
        <f>B7</f>
        <v/>
      </c>
      <c r="S7" s="63">
        <f>(T7/R7)</f>
        <v/>
      </c>
      <c r="T7" s="63">
        <f>D7</f>
        <v/>
      </c>
      <c r="U7" t="inlineStr">
        <is>
          <t>DCA2</t>
        </is>
      </c>
    </row>
    <row r="8">
      <c r="B8" s="18" t="n">
        <v>0.63003905</v>
      </c>
      <c r="C8" s="63">
        <f>(D8/B8)</f>
        <v/>
      </c>
      <c r="D8" s="63" t="n">
        <v>0.5</v>
      </c>
      <c r="N8" s="18">
        <f>($B$7+$R$9+$R$6)/5</f>
        <v/>
      </c>
      <c r="O8" s="63">
        <f>($S$7*[1]Params!K10)</f>
        <v/>
      </c>
      <c r="P8" s="63">
        <f>(O8*N8)</f>
        <v/>
      </c>
      <c r="R8" s="18">
        <f>B8</f>
        <v/>
      </c>
      <c r="S8" s="63">
        <f>C8</f>
        <v/>
      </c>
      <c r="T8" s="64">
        <f>D8</f>
        <v/>
      </c>
    </row>
    <row r="9">
      <c r="B9" s="18" t="n">
        <v>-1.08</v>
      </c>
      <c r="C9" s="63">
        <f>(D9/B9)</f>
        <v/>
      </c>
      <c r="D9" s="63" t="n">
        <v>-1.134</v>
      </c>
      <c r="N9" s="18">
        <f>($B$7+$R$9+$R$6)/5</f>
        <v/>
      </c>
      <c r="O9" s="63">
        <f>($C$7*[1]Params!K11)</f>
        <v/>
      </c>
      <c r="P9" s="63">
        <f>(O9*N9)</f>
        <v/>
      </c>
      <c r="R9" s="18">
        <f>SUM(B9,B12,B13,B16)</f>
        <v/>
      </c>
      <c r="S9" s="63" t="n">
        <v>0</v>
      </c>
      <c r="T9" s="63">
        <f>SUM(D9,D12,D13,D16)</f>
        <v/>
      </c>
      <c r="U9" t="inlineStr">
        <is>
          <t>DCA2*</t>
        </is>
      </c>
    </row>
    <row r="10">
      <c r="B10" s="18" t="n">
        <v>-2.44</v>
      </c>
      <c r="C10" s="63">
        <f>(D10/B10)</f>
        <v/>
      </c>
      <c r="D10" s="63" t="n">
        <v>-2.64426302</v>
      </c>
      <c r="O10" s="63" t="n"/>
      <c r="P10" s="63" t="n"/>
      <c r="R10" s="18">
        <f>SUM(B10,B11,B14,B15)</f>
        <v/>
      </c>
      <c r="S10" s="63" t="n">
        <v>0</v>
      </c>
      <c r="T10" s="63">
        <f>SUM(D10,D11,D14,D15)</f>
        <v/>
      </c>
      <c r="U10" t="inlineStr">
        <is>
          <t>*</t>
        </is>
      </c>
    </row>
    <row r="11">
      <c r="B11" s="18" t="n">
        <v>-2.44</v>
      </c>
      <c r="C11" s="63">
        <f>(D11/B11)</f>
        <v/>
      </c>
      <c r="D11" s="63" t="n">
        <v>-3.18898028</v>
      </c>
      <c r="O11" s="63" t="n"/>
      <c r="P11" s="63">
        <f>(SUM(P6:P9))</f>
        <v/>
      </c>
      <c r="R11" s="18" t="n"/>
      <c r="S11" s="63" t="n"/>
      <c r="T11" s="63" t="n"/>
    </row>
    <row r="12">
      <c r="B12" s="18" t="n">
        <v>-2.72</v>
      </c>
      <c r="C12" s="63">
        <f>(D12/B12)</f>
        <v/>
      </c>
      <c r="D12" s="63" t="n">
        <v>-4.01642344</v>
      </c>
      <c r="O12" s="63" t="n"/>
      <c r="P12" s="63" t="n"/>
      <c r="S12" s="63" t="n"/>
      <c r="T12" s="63" t="n"/>
    </row>
    <row r="13">
      <c r="B13" s="18" t="n">
        <v>3.02232854</v>
      </c>
      <c r="C13" s="63">
        <f>(D13/B13)</f>
        <v/>
      </c>
      <c r="D13" s="6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63" t="n"/>
      <c r="T13" s="63" t="n"/>
    </row>
    <row r="14">
      <c r="B14" s="18" t="n">
        <v>2.71232876</v>
      </c>
      <c r="C14" s="63">
        <f>(D14/B14)</f>
        <v/>
      </c>
      <c r="D14" s="63" t="n">
        <v>2.97</v>
      </c>
      <c r="M14" t="inlineStr">
        <is>
          <t>Objectif</t>
        </is>
      </c>
      <c r="N14" s="18">
        <f>($B$5+$R$10)/5</f>
        <v/>
      </c>
      <c r="O14" s="63">
        <f>($C$5*[1]Params!K8)</f>
        <v/>
      </c>
      <c r="P14" s="63">
        <f>(O14*N14)</f>
        <v/>
      </c>
      <c r="S14" s="63" t="n"/>
      <c r="T14" s="63" t="n"/>
    </row>
    <row r="15">
      <c r="B15" s="18">
        <f>2.44/0.9</f>
        <v/>
      </c>
      <c r="C15" s="63" t="n">
        <v>0.847152</v>
      </c>
      <c r="D15" s="63">
        <f>B15*C15</f>
        <v/>
      </c>
      <c r="N15" s="18">
        <f>($B$5+$R$10)/5</f>
        <v/>
      </c>
      <c r="O15" s="63">
        <f>($C$5*[1]Params!K9)</f>
        <v/>
      </c>
      <c r="P15" s="63">
        <f>(O15*N15)</f>
        <v/>
      </c>
      <c r="S15" s="63" t="n"/>
      <c r="T15" s="63" t="n"/>
    </row>
    <row r="16">
      <c r="B16" s="18">
        <f>4.11968757-B15</f>
        <v/>
      </c>
      <c r="C16" s="63" t="n">
        <v>0.847152</v>
      </c>
      <c r="D16" s="63">
        <f>B16*C16</f>
        <v/>
      </c>
      <c r="N16" s="18">
        <f>($B$5+$R$10)/5</f>
        <v/>
      </c>
      <c r="O16" s="63">
        <f>($C$5*[1]Params!K10)</f>
        <v/>
      </c>
      <c r="P16" s="63">
        <f>(O16*N16)</f>
        <v/>
      </c>
      <c r="S16" s="63" t="n"/>
      <c r="T16" s="63" t="n"/>
    </row>
    <row r="17">
      <c r="B17" s="18" t="n"/>
      <c r="F17" t="inlineStr">
        <is>
          <t>Moy</t>
        </is>
      </c>
      <c r="G17" s="63">
        <f>(D18/B18)</f>
        <v/>
      </c>
      <c r="N17" s="18">
        <f>($B$5+$R$10)/5</f>
        <v/>
      </c>
      <c r="O17" s="63">
        <f>($C$5*[1]Params!K11)</f>
        <v/>
      </c>
      <c r="P17" s="63">
        <f>(O17*N17)</f>
        <v/>
      </c>
      <c r="R17">
        <f>(SUM(R5:R12))</f>
        <v/>
      </c>
      <c r="S17" s="63" t="n"/>
      <c r="T17" s="63">
        <f>(SUM(T5:T12))</f>
        <v/>
      </c>
    </row>
    <row r="18">
      <c r="B18" s="18">
        <f>(SUM(B5:B17))</f>
        <v/>
      </c>
      <c r="D18" s="63">
        <f>(SUM(D5:D17))</f>
        <v/>
      </c>
      <c r="O18" s="63" t="n"/>
      <c r="P18" s="63" t="n"/>
    </row>
    <row r="19">
      <c r="O19" s="63" t="n"/>
      <c r="P19" s="63" t="n"/>
    </row>
    <row r="20">
      <c r="O20" s="63" t="n"/>
      <c r="P20" s="63">
        <f>(SUM(P14:P17))</f>
        <v/>
      </c>
    </row>
    <row r="21"/>
    <row r="22"/>
    <row r="23"/>
    <row r="24"/>
    <row r="25"/>
    <row r="26"/>
    <row r="27">
      <c r="H27" s="64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88"/>
    <col width="9.140625" customWidth="1" style="25" min="389" max="16384"/>
  </cols>
  <sheetData>
    <row r="1"/>
    <row r="2"/>
    <row r="3">
      <c r="I3" t="inlineStr">
        <is>
          <t>Actual Price :</t>
        </is>
      </c>
      <c r="J3" s="84" t="n">
        <v>0.03429921451474223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(B10*J3)</f>
        <v/>
      </c>
      <c r="K4" s="4">
        <f>(J4/D10-1)</f>
        <v/>
      </c>
    </row>
    <row r="5">
      <c r="B5" s="74" t="n">
        <v>64.74873341</v>
      </c>
      <c r="C5" s="84">
        <f>(D5/B5)</f>
        <v/>
      </c>
      <c r="D5" s="63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6" t="n">
        <v>0.06959824000000001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74">
        <f>($B$10/5)</f>
        <v/>
      </c>
      <c r="O6" s="84">
        <f>($C$5*[1]Params!K8)</f>
        <v/>
      </c>
      <c r="P6" s="63">
        <f>(O6*N6)</f>
        <v/>
      </c>
    </row>
    <row r="7">
      <c r="B7" s="74" t="n"/>
      <c r="C7" s="63" t="n"/>
      <c r="D7" s="65" t="n"/>
      <c r="E7" s="63" t="n"/>
      <c r="N7" s="74">
        <f>($B$10/5)</f>
        <v/>
      </c>
      <c r="O7" s="84">
        <f>($C$5*[1]Params!K9)</f>
        <v/>
      </c>
      <c r="P7" s="63">
        <f>(O7*N7)</f>
        <v/>
      </c>
    </row>
    <row r="8">
      <c r="N8" s="74">
        <f>($B$10/5)</f>
        <v/>
      </c>
      <c r="O8" s="84">
        <f>($C$5*[1]Params!K10)</f>
        <v/>
      </c>
      <c r="P8" s="63">
        <f>(O8*N8)</f>
        <v/>
      </c>
    </row>
    <row r="9">
      <c r="F9" t="inlineStr">
        <is>
          <t>Moy</t>
        </is>
      </c>
      <c r="G9" s="63">
        <f>(D10/B10)</f>
        <v/>
      </c>
      <c r="N9" s="74">
        <f>($B$10/5)</f>
        <v/>
      </c>
      <c r="O9" s="84">
        <f>($C$5*[1]Params!K11)</f>
        <v/>
      </c>
      <c r="P9" s="63">
        <f>(O9*N9)</f>
        <v/>
      </c>
    </row>
    <row r="10">
      <c r="B10" s="74">
        <f>(SUM(B5:B9))</f>
        <v/>
      </c>
      <c r="D10" s="63">
        <f>(SUM(D5:D9))</f>
        <v/>
      </c>
    </row>
    <row r="11">
      <c r="P11" s="63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4" t="n">
        <v>1.345270873257257</v>
      </c>
      <c r="M3" t="inlineStr">
        <is>
          <t>Objectif :</t>
        </is>
      </c>
      <c r="N3" s="23">
        <f>(INDEX(N5:N33,MATCH(MAX(O6:O7),O5:O33,0))/0.85)</f>
        <v/>
      </c>
      <c r="O3" s="64">
        <f>(MAX(O6:O7)*0.75)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4" t="n">
        <v>52.2477</v>
      </c>
      <c r="C5" s="63">
        <f>(D5/B5)</f>
        <v/>
      </c>
      <c r="D5" s="63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4">
        <f>(B5)</f>
        <v/>
      </c>
      <c r="S5" s="63">
        <f>(T5/R5)</f>
        <v/>
      </c>
      <c r="T5" s="63">
        <f>(D5)</f>
        <v/>
      </c>
    </row>
    <row r="6">
      <c r="B6" s="86" t="n">
        <v>0.35232281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74">
        <f>-B8</f>
        <v/>
      </c>
      <c r="O6" s="63">
        <f>($C$5*[1]Params!K8)</f>
        <v/>
      </c>
      <c r="P6" s="63">
        <f>-D8</f>
        <v/>
      </c>
      <c r="Q6" t="inlineStr">
        <is>
          <t>Done</t>
        </is>
      </c>
      <c r="R6" s="86" t="n">
        <v>0.33622555</v>
      </c>
      <c r="S6" s="66" t="n">
        <v>0</v>
      </c>
      <c r="T6" s="67">
        <f>(R6*S6)</f>
        <v/>
      </c>
      <c r="U6" s="63">
        <f>(E6)</f>
        <v/>
      </c>
    </row>
    <row r="7">
      <c r="B7" s="74" t="n">
        <v>2.381</v>
      </c>
      <c r="C7" s="63" t="n">
        <v>0</v>
      </c>
      <c r="D7" s="65">
        <f>(B7*C7)</f>
        <v/>
      </c>
      <c r="E7" s="63">
        <f>(B7*J3)</f>
        <v/>
      </c>
      <c r="N7" s="74">
        <f>-B9</f>
        <v/>
      </c>
      <c r="O7" s="63">
        <f>P7/N7</f>
        <v/>
      </c>
      <c r="P7" s="63">
        <f>-D9</f>
        <v/>
      </c>
      <c r="Q7" t="inlineStr">
        <is>
          <t>Done</t>
        </is>
      </c>
      <c r="R7" s="74">
        <f>(B7)</f>
        <v/>
      </c>
      <c r="S7" s="63" t="n">
        <v>0</v>
      </c>
      <c r="T7" s="65">
        <f>(D7)</f>
        <v/>
      </c>
    </row>
    <row r="8">
      <c r="B8" s="74" t="n">
        <v>-10.99</v>
      </c>
      <c r="C8" s="64">
        <f>D8/B8</f>
        <v/>
      </c>
      <c r="D8" s="63">
        <f>-12.41601718</f>
        <v/>
      </c>
      <c r="N8" s="74">
        <f>3*($B$13+$N$7+$N$6)/5-N7-N6</f>
        <v/>
      </c>
      <c r="O8" s="63">
        <f>($C$5*[1]Params!K10)</f>
        <v/>
      </c>
      <c r="P8" s="63">
        <f>N8*O8</f>
        <v/>
      </c>
      <c r="R8" s="74">
        <f>B8</f>
        <v/>
      </c>
      <c r="S8" s="63">
        <f>T8/R8</f>
        <v/>
      </c>
      <c r="T8" s="63">
        <f>D8</f>
        <v/>
      </c>
      <c r="V8" s="64" t="n"/>
    </row>
    <row r="9">
      <c r="B9" s="74" t="n">
        <v>-10.99</v>
      </c>
      <c r="C9" s="64">
        <f>D9/B9</f>
        <v/>
      </c>
      <c r="D9" s="63" t="n">
        <v>-13.55613194</v>
      </c>
      <c r="N9" s="74">
        <f>($B$13+$N$7+$N$6)/5</f>
        <v/>
      </c>
      <c r="O9" s="63">
        <f>($C$5*[1]Params!K11)</f>
        <v/>
      </c>
      <c r="P9" s="63">
        <f>(O9*N9)</f>
        <v/>
      </c>
      <c r="R9" s="74">
        <f>B9</f>
        <v/>
      </c>
      <c r="S9" s="63">
        <f>T9/R9</f>
        <v/>
      </c>
      <c r="T9" s="63">
        <f>D9</f>
        <v/>
      </c>
      <c r="U9" s="63" t="n"/>
      <c r="V9" s="64" t="n"/>
    </row>
    <row r="10">
      <c r="B10" s="74" t="n">
        <v>-11</v>
      </c>
      <c r="C10" s="64">
        <f>D10/B10</f>
        <v/>
      </c>
      <c r="D10" s="63">
        <f>-18.46116585</f>
        <v/>
      </c>
      <c r="R10" s="74">
        <f>B10+B11</f>
        <v/>
      </c>
      <c r="S10" s="63" t="n">
        <v>0</v>
      </c>
      <c r="T10" s="63">
        <f>D10+D11</f>
        <v/>
      </c>
      <c r="U10" s="63">
        <f>-T10+R10*J3</f>
        <v/>
      </c>
      <c r="V10" s="64" t="n"/>
    </row>
    <row r="11">
      <c r="B11" s="74" t="n">
        <v>13</v>
      </c>
      <c r="C11" s="63">
        <f>(D11/B11)</f>
        <v/>
      </c>
      <c r="D11" s="63" t="n">
        <v>16.10266887</v>
      </c>
      <c r="F11" t="inlineStr">
        <is>
          <t>Moy</t>
        </is>
      </c>
      <c r="G11" s="63">
        <f>(D13/B13)</f>
        <v/>
      </c>
      <c r="P11" s="63">
        <f>(SUM(P6:P9))</f>
        <v/>
      </c>
      <c r="R11" s="1" t="n"/>
      <c r="S11" s="63" t="n"/>
      <c r="T11" s="63" t="n"/>
      <c r="V11" s="64" t="n"/>
    </row>
    <row r="12">
      <c r="G12" s="63" t="n"/>
      <c r="P12" s="63" t="n"/>
      <c r="R12" s="1" t="n"/>
      <c r="S12" s="63" t="n"/>
      <c r="T12" s="63" t="n"/>
      <c r="V12" s="64" t="n"/>
    </row>
    <row r="13">
      <c r="B13" s="74">
        <f>(SUM(B5:B11))</f>
        <v/>
      </c>
      <c r="D13" s="63">
        <f>(SUM(D5:D11))</f>
        <v/>
      </c>
      <c r="R13" s="1" t="n"/>
      <c r="S13" s="63" t="n"/>
      <c r="T13" s="63" t="n"/>
    </row>
    <row r="14">
      <c r="R14" s="1" t="n"/>
      <c r="S14" s="63" t="n"/>
      <c r="T14" s="64" t="n"/>
    </row>
    <row r="15">
      <c r="R15" s="1" t="n"/>
      <c r="S15" s="63" t="n"/>
      <c r="T15" s="63" t="n"/>
    </row>
    <row r="16">
      <c r="R16" s="1" t="n"/>
      <c r="S16" s="63" t="n"/>
      <c r="T16" s="63" t="n"/>
    </row>
    <row r="17">
      <c r="S17" s="63" t="n"/>
      <c r="T17" s="63" t="n"/>
    </row>
    <row r="18">
      <c r="S18" s="63" t="n"/>
      <c r="T18" s="63" t="n"/>
    </row>
    <row r="19">
      <c r="S19" s="63" t="n"/>
      <c r="T19" s="63" t="n"/>
    </row>
    <row r="20">
      <c r="S20" s="63" t="n"/>
      <c r="T20" s="63" t="n"/>
    </row>
    <row r="21">
      <c r="S21" s="63" t="n"/>
      <c r="T21" s="63" t="n"/>
    </row>
    <row r="22">
      <c r="S22" s="63" t="n"/>
      <c r="T22" s="63" t="n"/>
    </row>
    <row r="23">
      <c r="S23" s="63" t="n"/>
      <c r="T23" s="63" t="n"/>
    </row>
    <row r="24">
      <c r="S24" s="63" t="n"/>
      <c r="T24" s="63" t="n"/>
    </row>
    <row r="25">
      <c r="J25" s="23" t="n"/>
      <c r="S25" s="63" t="n"/>
      <c r="T25" s="63" t="n"/>
    </row>
    <row r="26">
      <c r="S26" s="63" t="n"/>
      <c r="T26" s="63" t="n"/>
    </row>
    <row r="27">
      <c r="S27" s="63" t="n"/>
      <c r="T27" s="63" t="n"/>
    </row>
    <row r="28">
      <c r="S28" s="63" t="n"/>
      <c r="T28" s="63" t="n"/>
    </row>
    <row r="29">
      <c r="S29" s="63" t="n"/>
      <c r="T29" s="63" t="n"/>
    </row>
    <row r="30">
      <c r="R30" s="1">
        <f>(SUM(R5:R29))</f>
        <v/>
      </c>
      <c r="S30" s="63" t="n"/>
      <c r="T30" s="63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5"/>
  <sheetViews>
    <sheetView workbookViewId="0">
      <selection activeCell="U13" sqref="U1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3.99715407897387</v>
      </c>
      <c r="M3" t="inlineStr">
        <is>
          <t>Objectif :</t>
        </is>
      </c>
      <c r="N3" s="23">
        <f>(INDEX(N5:N34,MATCH(MAX(O6:O8,O14:O15),O5:O34,0))/0.85)</f>
        <v/>
      </c>
      <c r="O3" s="64">
        <f>(MAX(O6:O8,O14:O15)*0.75)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(B28*J3)</f>
        <v/>
      </c>
      <c r="K4" s="4">
        <f>(J4/D28-1)</f>
        <v/>
      </c>
      <c r="O4" s="63" t="n"/>
      <c r="P4" s="6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63">
        <f>(D5/B5)</f>
        <v/>
      </c>
      <c r="D5" s="6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63">
        <f>(T5/R5)</f>
        <v/>
      </c>
      <c r="T5" s="63">
        <f>(D5)</f>
        <v/>
      </c>
    </row>
    <row r="6">
      <c r="B6" s="1" t="n">
        <v>24.415873</v>
      </c>
      <c r="C6" s="63">
        <f>(D6/B6)</f>
        <v/>
      </c>
      <c r="D6" s="63" t="n">
        <v>45.9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63">
        <f>P6/N6</f>
        <v/>
      </c>
      <c r="P6" s="63">
        <f>-D18</f>
        <v/>
      </c>
      <c r="Q6" t="inlineStr">
        <is>
          <t>Done</t>
        </is>
      </c>
      <c r="R6" s="1">
        <f>B6+B19+B21</f>
        <v/>
      </c>
      <c r="S6" s="63">
        <f>(T6/R6)</f>
        <v/>
      </c>
      <c r="T6" s="63">
        <f>D6+B19*1.74+B21*1.7718</f>
        <v/>
      </c>
      <c r="U6" s="63">
        <f>(E6)</f>
        <v/>
      </c>
    </row>
    <row r="7">
      <c r="B7" s="2" t="n">
        <v>0.10354829</v>
      </c>
      <c r="C7" s="66" t="n">
        <v>0</v>
      </c>
      <c r="D7" s="67" t="n">
        <v>0</v>
      </c>
      <c r="E7" s="64">
        <f>B7*J3</f>
        <v/>
      </c>
      <c r="N7" s="1">
        <f>-B20</f>
        <v/>
      </c>
      <c r="O7" s="63">
        <f>($C$5*[1]Params!K9)</f>
        <v/>
      </c>
      <c r="P7" s="63">
        <f>(O7*N7)</f>
        <v/>
      </c>
      <c r="Q7" t="inlineStr">
        <is>
          <t>Done</t>
        </is>
      </c>
      <c r="R7" s="2">
        <f>(B7)</f>
        <v/>
      </c>
      <c r="S7" s="66" t="n">
        <v>0</v>
      </c>
      <c r="T7" s="67">
        <f>(D7)</f>
        <v/>
      </c>
    </row>
    <row r="8">
      <c r="B8" s="1" t="n">
        <v>-0.6</v>
      </c>
      <c r="C8" s="63">
        <f>(D8/B8)</f>
        <v/>
      </c>
      <c r="D8" s="63" t="n">
        <v>-1.15882087</v>
      </c>
      <c r="N8" s="1">
        <f>-B26</f>
        <v/>
      </c>
      <c r="O8" s="63">
        <f>P8/N8</f>
        <v/>
      </c>
      <c r="P8" s="63">
        <f>-D26</f>
        <v/>
      </c>
      <c r="Q8" t="inlineStr">
        <is>
          <t>Done</t>
        </is>
      </c>
      <c r="R8" s="1">
        <f>B10+B13+B8+B17+B23+B24</f>
        <v/>
      </c>
      <c r="S8" s="63" t="n">
        <v>0</v>
      </c>
      <c r="T8" s="63">
        <f>(D10+D13+D8+D17+D23+D24)</f>
        <v/>
      </c>
      <c r="U8" t="inlineStr">
        <is>
          <t>DCA2*</t>
        </is>
      </c>
      <c r="V8" s="64">
        <f>-T8+R8*$J$3</f>
        <v/>
      </c>
    </row>
    <row r="9">
      <c r="B9" s="1" t="n">
        <v>-0.358</v>
      </c>
      <c r="C9" s="63">
        <f>(D9/B9)</f>
        <v/>
      </c>
      <c r="D9" s="63">
        <f>(-0.764+0.005)</f>
        <v/>
      </c>
      <c r="N9" s="1">
        <f>(($B$5+$R$9)/5)</f>
        <v/>
      </c>
      <c r="O9" s="63">
        <f>($C$5*[1]Params!K11)</f>
        <v/>
      </c>
      <c r="P9" s="63">
        <f>(O9*N9)</f>
        <v/>
      </c>
      <c r="R9" s="1">
        <f>(B12+B11+B9+B14+B15+B16+B22+B25)</f>
        <v/>
      </c>
      <c r="S9" s="63" t="n">
        <v>0</v>
      </c>
      <c r="T9" s="63">
        <f>(D12+D11+D9+D14)+D15+D16+D22+D25</f>
        <v/>
      </c>
      <c r="U9" t="inlineStr">
        <is>
          <t>Learn*</t>
        </is>
      </c>
      <c r="V9" s="64">
        <f>-T9+R9*$J$3</f>
        <v/>
      </c>
    </row>
    <row r="10">
      <c r="B10" s="1" t="n">
        <v>-0.6</v>
      </c>
      <c r="C10" s="63">
        <f>(D10/B10)</f>
        <v/>
      </c>
      <c r="D10" s="63" t="n">
        <v>-1.353</v>
      </c>
      <c r="N10" s="1" t="n"/>
      <c r="O10" s="63" t="n"/>
      <c r="P10" s="63" t="n"/>
      <c r="R10" s="1">
        <f>B18</f>
        <v/>
      </c>
      <c r="S10" s="63">
        <f>T10/R10</f>
        <v/>
      </c>
      <c r="T10" s="63">
        <f>D18</f>
        <v/>
      </c>
      <c r="U10" t="inlineStr">
        <is>
          <t>Learn 1/5</t>
        </is>
      </c>
    </row>
    <row r="11">
      <c r="B11" s="1" t="n">
        <v>-0.357420357420357</v>
      </c>
      <c r="C11" s="63">
        <f>(D11/B11)</f>
        <v/>
      </c>
      <c r="D11" s="63" t="n">
        <v>-0.895829</v>
      </c>
      <c r="N11" s="1" t="n"/>
      <c r="O11" s="63" t="n"/>
      <c r="P11" s="63">
        <f>(SUM(P6:P9))</f>
        <v/>
      </c>
      <c r="R11" s="1">
        <f>B19-B19</f>
        <v/>
      </c>
      <c r="S11" s="63" t="n">
        <v>0</v>
      </c>
      <c r="T11" s="64">
        <f>D19-B19*1.74</f>
        <v/>
      </c>
    </row>
    <row r="12">
      <c r="B12" s="1" t="n">
        <v>0.388533371311533</v>
      </c>
      <c r="C12" s="63">
        <f>(D12/B12)</f>
        <v/>
      </c>
      <c r="D12" s="63" t="n">
        <v>0.84983</v>
      </c>
      <c r="N12" s="1" t="n"/>
      <c r="O12" s="63" t="n"/>
      <c r="P12" s="63" t="n"/>
      <c r="R12" s="1">
        <f>B20</f>
        <v/>
      </c>
      <c r="S12" s="63">
        <f>T12/R12</f>
        <v/>
      </c>
      <c r="T12" s="63">
        <f>D20</f>
        <v/>
      </c>
      <c r="U12" t="inlineStr">
        <is>
          <t>Learn 2/5</t>
        </is>
      </c>
    </row>
    <row r="13">
      <c r="B13" s="1" t="n">
        <v>0.66773927</v>
      </c>
      <c r="C13" s="63">
        <f>(D13/B13)</f>
        <v/>
      </c>
      <c r="D13" s="6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63" t="n">
        <v>0</v>
      </c>
      <c r="T13" s="63">
        <f>D21-B21*1.7718</f>
        <v/>
      </c>
    </row>
    <row r="14">
      <c r="B14" s="1" t="n">
        <v>0.393802115862377</v>
      </c>
      <c r="C14" s="63">
        <f>(D14/B14)</f>
        <v/>
      </c>
      <c r="D14" s="63" t="n">
        <v>0.696157</v>
      </c>
      <c r="M14" t="inlineStr">
        <is>
          <t>Objectif</t>
        </is>
      </c>
      <c r="N14" s="1">
        <f>-B19</f>
        <v/>
      </c>
      <c r="O14" s="63">
        <f>P14/N14</f>
        <v/>
      </c>
      <c r="P14" s="63">
        <f>-D19</f>
        <v/>
      </c>
      <c r="Q14" t="inlineStr">
        <is>
          <t>Done</t>
        </is>
      </c>
      <c r="R14" s="1">
        <f>-N8</f>
        <v/>
      </c>
      <c r="S14" s="63">
        <f>T14/R14</f>
        <v/>
      </c>
      <c r="T14" s="63">
        <f>-P8</f>
        <v/>
      </c>
      <c r="U14" t="inlineStr">
        <is>
          <t>Learn 3/5</t>
        </is>
      </c>
    </row>
    <row r="15">
      <c r="B15" s="1" t="n">
        <v>-0.364896073903002</v>
      </c>
      <c r="C15" s="63">
        <f>(D15/B15)</f>
        <v/>
      </c>
      <c r="D15" s="63" t="n">
        <v>-0.767007</v>
      </c>
      <c r="N15" s="1">
        <f>-B21</f>
        <v/>
      </c>
      <c r="O15" s="63">
        <f>P15/N15</f>
        <v/>
      </c>
      <c r="P15" s="63">
        <f>-D21</f>
        <v/>
      </c>
      <c r="Q15" t="inlineStr">
        <is>
          <t>Done</t>
        </is>
      </c>
      <c r="R15" s="1" t="n"/>
      <c r="S15" s="63" t="n"/>
      <c r="T15" s="63" t="n"/>
      <c r="U15" s="64" t="n"/>
    </row>
    <row r="16">
      <c r="B16" s="1" t="n">
        <v>0.419286856535433</v>
      </c>
      <c r="C16" s="63">
        <f>(D16/B16)</f>
        <v/>
      </c>
      <c r="D16" s="63" t="n">
        <v>0.709744</v>
      </c>
      <c r="N16" s="1">
        <f>3*(($B$6+$R$8+$R$7)/5)-$N$15-$N$14</f>
        <v/>
      </c>
      <c r="O16" s="63">
        <f>($S$6*[1]Params!K10)</f>
        <v/>
      </c>
      <c r="P16" s="63">
        <f>(O16*N16)</f>
        <v/>
      </c>
      <c r="S16" s="63" t="n"/>
      <c r="T16" s="63" t="n"/>
    </row>
    <row r="17">
      <c r="B17" s="1" t="n">
        <v>0.668076</v>
      </c>
      <c r="C17" s="63">
        <f>(D17/B17)</f>
        <v/>
      </c>
      <c r="D17" s="63" t="n">
        <v>1.1</v>
      </c>
      <c r="N17" s="1">
        <f>3*(($B$6+$R$8+$R$7)/5)-$N$15-$N$14</f>
        <v/>
      </c>
      <c r="O17" s="63">
        <f>($S$6*[1]Params!K11)</f>
        <v/>
      </c>
      <c r="P17" s="63">
        <f>(O17*N17)</f>
        <v/>
      </c>
      <c r="S17" s="63" t="n"/>
      <c r="T17" s="63" t="n"/>
    </row>
    <row r="18">
      <c r="B18" s="1" t="n">
        <v>-0.377697841726618</v>
      </c>
      <c r="C18" s="63">
        <f>(D18/B18)</f>
        <v/>
      </c>
      <c r="D18" s="63" t="n">
        <v>-0.82209</v>
      </c>
      <c r="E18">
        <f>U10</f>
        <v/>
      </c>
      <c r="N18" s="1" t="n"/>
      <c r="O18" s="63" t="n"/>
      <c r="P18" s="63" t="n"/>
      <c r="S18" s="63" t="n"/>
      <c r="T18" s="63" t="n"/>
    </row>
    <row r="19">
      <c r="B19" s="1" t="n">
        <v>-4.3</v>
      </c>
      <c r="C19" s="63">
        <f>(D19/B19)</f>
        <v/>
      </c>
      <c r="D19" s="63" t="n">
        <v>-10.15814138</v>
      </c>
      <c r="O19" s="63" t="n"/>
      <c r="P19" s="63">
        <f>(SUM(P14:P17))</f>
        <v/>
      </c>
      <c r="S19" s="63" t="n"/>
      <c r="T19" s="63" t="n"/>
    </row>
    <row r="20">
      <c r="B20" s="1" t="n">
        <v>-0.37687523</v>
      </c>
      <c r="C20" s="63">
        <f>(D20/B20)</f>
        <v/>
      </c>
      <c r="D20" s="63">
        <f>-1.008661</f>
        <v/>
      </c>
      <c r="O20" s="63" t="n"/>
      <c r="P20" s="63" t="n"/>
      <c r="S20" s="63" t="n"/>
      <c r="T20" s="63" t="n"/>
    </row>
    <row r="21">
      <c r="B21" s="1" t="n">
        <v>-4.53</v>
      </c>
      <c r="C21" s="63">
        <f>D21/B21</f>
        <v/>
      </c>
      <c r="D21" s="63" t="n">
        <v>-13.0025235</v>
      </c>
      <c r="O21" s="63" t="n"/>
      <c r="P21" s="63" t="n"/>
      <c r="S21" s="63" t="n"/>
      <c r="T21" s="63" t="n"/>
    </row>
    <row r="22">
      <c r="B22" s="1" t="n">
        <v>-0.37933818</v>
      </c>
      <c r="C22" s="63">
        <f>D22/B22</f>
        <v/>
      </c>
      <c r="D22" s="63" t="n">
        <v>-1.381056</v>
      </c>
      <c r="O22" s="63" t="n"/>
      <c r="P22" s="63" t="n"/>
      <c r="S22" s="63" t="n"/>
      <c r="T22" s="63" t="n"/>
    </row>
    <row r="23">
      <c r="B23" s="1" t="n">
        <v>-4.82</v>
      </c>
      <c r="C23" s="63">
        <f>D23/B23</f>
        <v/>
      </c>
      <c r="D23" s="63">
        <f>-18.93992355</f>
        <v/>
      </c>
      <c r="O23" s="63" t="n"/>
      <c r="P23" s="63" t="n"/>
      <c r="S23" s="63" t="n"/>
      <c r="T23" s="63" t="n"/>
    </row>
    <row r="24">
      <c r="B24" s="1">
        <f>5.7*0.999</f>
        <v/>
      </c>
      <c r="C24" s="63">
        <f>(D24/B24)</f>
        <v/>
      </c>
      <c r="D24" s="63" t="n">
        <v>16.4103</v>
      </c>
      <c r="O24" s="63" t="n"/>
      <c r="P24" s="63" t="n"/>
      <c r="S24" s="63" t="n"/>
      <c r="T24" s="63" t="n"/>
    </row>
    <row r="25">
      <c r="B25" s="1" t="n">
        <v>0.446786248131539</v>
      </c>
      <c r="C25" s="63">
        <f>(D25/B25)</f>
        <v/>
      </c>
      <c r="D25" s="63" t="n">
        <v>1.22</v>
      </c>
      <c r="O25" s="63" t="n"/>
      <c r="P25" s="63" t="n"/>
      <c r="S25" s="63" t="n"/>
      <c r="T25" s="63" t="n"/>
    </row>
    <row r="26">
      <c r="B26" s="1" t="n">
        <v>-0.383597883597883</v>
      </c>
      <c r="C26" s="63">
        <f>D26/B26</f>
        <v/>
      </c>
      <c r="D26" s="63" t="n">
        <v>-1.419872</v>
      </c>
      <c r="O26" s="63" t="n"/>
      <c r="P26" s="63" t="n"/>
      <c r="S26" s="63" t="n"/>
      <c r="T26" s="63" t="n"/>
    </row>
    <row r="27">
      <c r="C27" s="63" t="n"/>
      <c r="D27" s="63" t="n"/>
      <c r="F27" t="inlineStr">
        <is>
          <t>Moy</t>
        </is>
      </c>
      <c r="G27" s="63">
        <f>(D28/B28)</f>
        <v/>
      </c>
      <c r="S27" s="63" t="n"/>
      <c r="T27" s="63" t="n"/>
    </row>
    <row r="28">
      <c r="B28" s="1">
        <f>(SUM(B5:B27))</f>
        <v/>
      </c>
      <c r="C28" s="63" t="n"/>
      <c r="D28" s="63">
        <f>(SUM(D5:D27))</f>
        <v/>
      </c>
      <c r="S28" s="63" t="n"/>
      <c r="T28" s="63" t="n"/>
    </row>
    <row r="29">
      <c r="S29" s="63" t="n"/>
      <c r="T29" s="63" t="n"/>
    </row>
    <row r="30">
      <c r="S30" s="63" t="n"/>
      <c r="T30" s="63" t="n"/>
    </row>
    <row r="31">
      <c r="R31" s="1">
        <f>(SUM(R5:R30))</f>
        <v/>
      </c>
      <c r="S31" s="63" t="n"/>
      <c r="T31" s="63">
        <f>(SUM(T5:T30))</f>
        <v/>
      </c>
    </row>
    <row r="32"/>
    <row r="33"/>
    <row r="34"/>
    <row r="35">
      <c r="K35" s="64" t="n"/>
    </row>
  </sheetData>
  <conditionalFormatting sqref="C5:C6 C12:C14 C16:C17 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6"/>
  <sheetViews>
    <sheetView topLeftCell="A13" zoomScale="85" zoomScaleNormal="85" workbookViewId="0">
      <selection activeCell="E237" sqref="E237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71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71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71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71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71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71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71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71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71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71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71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71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71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71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71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71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71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71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71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71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71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71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71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71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71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71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71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71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71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71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71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71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71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71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71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71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71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71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71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71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71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71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71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71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71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71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71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71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71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71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71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71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71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71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71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71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71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71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71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71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71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71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71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71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71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71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71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71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71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71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71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71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71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71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71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71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71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71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71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71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71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71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71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71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71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71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71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71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71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71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71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71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71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71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71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71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71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71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71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71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71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71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71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71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71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71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71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71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71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71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71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71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71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71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71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71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71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71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71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71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71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71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71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71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71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71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71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71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71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71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71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71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71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71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71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71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71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71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71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71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71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71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71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71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71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71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71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71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71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71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71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71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71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71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71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71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71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71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71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71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71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71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71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71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71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71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71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71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71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71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71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71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71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71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71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71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71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71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71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71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71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71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71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71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71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71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71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71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71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71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71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71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71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71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71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71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71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71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71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71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71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71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71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71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  <row r="236">
      <c r="B236" s="71" t="n">
        <v>45349</v>
      </c>
      <c r="C236" s="18" t="n">
        <v>41.4</v>
      </c>
      <c r="D236" s="18">
        <f>(0.097*$M$3)</f>
        <v/>
      </c>
      <c r="E236" s="18">
        <f>(57000*$N$3)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409"/>
    <col width="9.140625" customWidth="1" style="25" min="41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4" t="n">
        <v>0.9028881702589886</v>
      </c>
      <c r="M3" t="inlineStr">
        <is>
          <t>Objectif :</t>
        </is>
      </c>
      <c r="N3" s="74">
        <f>(INDEX(N5:N22,MATCH(MAX(O6:O8),O5:O22,0))/0.85)</f>
        <v/>
      </c>
      <c r="O3" s="64">
        <f>(MAX(O6:O8)*0.75)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4" t="n">
        <v>9.409654700000001</v>
      </c>
      <c r="C5" s="63">
        <f>(D5/B5)</f>
        <v/>
      </c>
      <c r="D5" s="63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4">
        <f>(B5)</f>
        <v/>
      </c>
      <c r="S5" s="63">
        <f>(T5/R5)</f>
        <v/>
      </c>
      <c r="T5" s="63">
        <f>D5</f>
        <v/>
      </c>
    </row>
    <row r="6">
      <c r="B6" s="86" t="n">
        <v>0.07657216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 s="74">
        <f>-B7/2</f>
        <v/>
      </c>
      <c r="O6" s="63" t="n">
        <v>0.3</v>
      </c>
      <c r="P6" s="63">
        <f>(O6*N6)</f>
        <v/>
      </c>
      <c r="Q6" s="64" t="inlineStr">
        <is>
          <t>Done</t>
        </is>
      </c>
      <c r="R6" s="86">
        <f>(B6)</f>
        <v/>
      </c>
      <c r="S6" s="66" t="n">
        <v>0</v>
      </c>
      <c r="T6" s="66">
        <f>(D6)</f>
        <v/>
      </c>
      <c r="U6" s="63">
        <f>(E6)</f>
        <v/>
      </c>
    </row>
    <row r="7">
      <c r="B7" s="74" t="n">
        <v>-3.793</v>
      </c>
      <c r="C7" s="63">
        <f>D7/B7</f>
        <v/>
      </c>
      <c r="D7" s="63">
        <f>-1.29461908</f>
        <v/>
      </c>
      <c r="N7" s="74">
        <f>-B7/2</f>
        <v/>
      </c>
      <c r="O7" s="63" t="n">
        <v>0.37</v>
      </c>
      <c r="P7" s="63">
        <f>(O7*N7)</f>
        <v/>
      </c>
      <c r="Q7" s="64" t="inlineStr">
        <is>
          <t>Done</t>
        </is>
      </c>
      <c r="R7" s="74" t="n"/>
      <c r="S7" s="63" t="n"/>
      <c r="T7" s="63" t="n"/>
      <c r="U7" s="64" t="n"/>
    </row>
    <row r="8">
      <c r="B8" s="74" t="n">
        <v>-1.89</v>
      </c>
      <c r="C8" s="63">
        <f>D8/B8</f>
        <v/>
      </c>
      <c r="D8" s="63" t="n">
        <v>-1.04446569</v>
      </c>
      <c r="N8" s="74">
        <f>-B8</f>
        <v/>
      </c>
      <c r="O8" s="63">
        <f>P8/N8</f>
        <v/>
      </c>
      <c r="P8" s="63">
        <f>-D8</f>
        <v/>
      </c>
      <c r="Q8" s="64" t="inlineStr">
        <is>
          <t>Done</t>
        </is>
      </c>
      <c r="R8" s="74" t="n"/>
      <c r="S8" s="63" t="n"/>
      <c r="T8" s="63" t="n"/>
    </row>
    <row r="9">
      <c r="B9" s="74" t="n"/>
      <c r="C9" s="63" t="n"/>
      <c r="D9" s="63" t="n"/>
      <c r="N9" s="74">
        <f>4*($B$14-B7-B8)/5+B7+B8</f>
        <v/>
      </c>
      <c r="O9" s="63">
        <f>($C$5*[1]Params!K11)</f>
        <v/>
      </c>
      <c r="P9" s="63">
        <f>(O9*N9)</f>
        <v/>
      </c>
      <c r="Q9" s="64" t="n"/>
    </row>
    <row r="10">
      <c r="B10" s="74" t="n"/>
      <c r="C10" s="63" t="n"/>
      <c r="D10" s="63" t="n"/>
    </row>
    <row r="11"/>
    <row r="12">
      <c r="P12" s="63">
        <f>(SUM(P6:P9))</f>
        <v/>
      </c>
    </row>
    <row r="13">
      <c r="F13" t="inlineStr">
        <is>
          <t>Moy</t>
        </is>
      </c>
      <c r="G13" s="63">
        <f>(D14/B14)</f>
        <v/>
      </c>
    </row>
    <row r="14">
      <c r="B14" s="74">
        <f>(SUM(B5:B13))</f>
        <v/>
      </c>
      <c r="D14" s="63">
        <f>(SUM(D5:D13))</f>
        <v/>
      </c>
    </row>
    <row r="15"/>
    <row r="16"/>
    <row r="17">
      <c r="N17" s="74" t="n"/>
      <c r="R17" s="74">
        <f>(SUM(R5:R16))</f>
        <v/>
      </c>
      <c r="T17" s="63">
        <f>(SUM(T5:T16))</f>
        <v/>
      </c>
    </row>
    <row r="18"/>
    <row r="19"/>
    <row r="20">
      <c r="K20" s="64" t="n"/>
    </row>
    <row r="21"/>
    <row r="22"/>
    <row r="23"/>
    <row r="24"/>
    <row r="25"/>
    <row r="26">
      <c r="O26" s="9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94" t="n">
        <v>1.430254960894466e-05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</row>
    <row r="5">
      <c r="B5" s="21" t="n">
        <v>439531.68</v>
      </c>
      <c r="C5" s="94">
        <f>(D5/B5)</f>
        <v/>
      </c>
      <c r="D5" s="63" t="n">
        <v>5.03</v>
      </c>
      <c r="E5" s="63" t="n"/>
      <c r="F5" s="63" t="n"/>
      <c r="G5" s="6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284.67</v>
      </c>
      <c r="C6" s="66" t="n">
        <v>0</v>
      </c>
      <c r="D6" s="67">
        <f>(B6*C6)</f>
        <v/>
      </c>
      <c r="E6" s="63">
        <f>(B6*J3)</f>
        <v/>
      </c>
      <c r="F6" s="63" t="n"/>
      <c r="G6" s="63" t="n"/>
      <c r="M6" t="inlineStr">
        <is>
          <t>Objectif</t>
        </is>
      </c>
      <c r="N6" s="21">
        <f>($B$13/5)</f>
        <v/>
      </c>
      <c r="O6" s="94">
        <f>($C$5*[1]Params!K8)</f>
        <v/>
      </c>
      <c r="P6" s="63">
        <f>(O6*N6)</f>
        <v/>
      </c>
    </row>
    <row r="7">
      <c r="B7" s="21" t="n">
        <v>1084840.42</v>
      </c>
      <c r="C7" s="94">
        <f>(D7/B7)</f>
        <v/>
      </c>
      <c r="D7" s="63" t="n">
        <v>10.0124</v>
      </c>
      <c r="E7" s="63" t="inlineStr">
        <is>
          <t>DCA5</t>
        </is>
      </c>
      <c r="F7" s="63" t="n"/>
      <c r="G7" s="63" t="n"/>
      <c r="N7" s="21">
        <f>($B$13/5)</f>
        <v/>
      </c>
      <c r="O7" s="94">
        <f>($C$5*[1]Params!K9)</f>
        <v/>
      </c>
      <c r="P7" s="63">
        <f>(O7*N7)</f>
        <v/>
      </c>
    </row>
    <row r="8">
      <c r="C8" s="63" t="n"/>
      <c r="D8" s="63" t="n"/>
      <c r="E8" s="63" t="n"/>
      <c r="F8" s="63" t="n"/>
      <c r="G8" s="63" t="n"/>
      <c r="N8" s="21">
        <f>($B$13/5)</f>
        <v/>
      </c>
      <c r="O8" s="94">
        <f>($C$5*[1]Params!K10)</f>
        <v/>
      </c>
      <c r="P8" s="63">
        <f>(O8*N8)</f>
        <v/>
      </c>
    </row>
    <row r="9">
      <c r="C9" s="63" t="n"/>
      <c r="D9" s="63" t="n"/>
      <c r="E9" s="63" t="n"/>
      <c r="F9" s="63" t="n"/>
      <c r="G9" s="63" t="n"/>
      <c r="N9" s="21">
        <f>($B$13/5)</f>
        <v/>
      </c>
      <c r="O9" s="94">
        <f>($C$5*[1]Params!K11)</f>
        <v/>
      </c>
      <c r="P9" s="63">
        <f>(O9*N9)</f>
        <v/>
      </c>
    </row>
    <row r="10">
      <c r="C10" s="63" t="n"/>
      <c r="D10" s="63" t="n"/>
      <c r="E10" s="63" t="n"/>
      <c r="F10" s="63" t="n"/>
      <c r="G10" s="63" t="n"/>
      <c r="O10" s="63" t="n"/>
      <c r="P10" s="63" t="n"/>
    </row>
    <row r="11">
      <c r="C11" s="63" t="n"/>
      <c r="D11" s="63" t="n"/>
      <c r="E11" s="63" t="n"/>
      <c r="F11" s="63" t="n"/>
      <c r="G11" s="63" t="n"/>
      <c r="O11" s="63" t="n"/>
      <c r="P11" s="63">
        <f>(SUM(P6:P9))</f>
        <v/>
      </c>
    </row>
    <row r="12">
      <c r="C12" s="63" t="n"/>
      <c r="D12" s="63" t="n"/>
      <c r="E12" s="63" t="n"/>
      <c r="F12" s="63" t="inlineStr">
        <is>
          <t>Moy</t>
        </is>
      </c>
      <c r="G12" s="95">
        <f>(D13/B13)</f>
        <v/>
      </c>
    </row>
    <row r="13">
      <c r="B13">
        <f>(SUM(B5:B12))</f>
        <v/>
      </c>
      <c r="C13" s="63" t="n"/>
      <c r="D13" s="63">
        <f>(SUM(D5:D12))</f>
        <v/>
      </c>
      <c r="E13" s="63" t="n"/>
      <c r="F13" s="63" t="n"/>
      <c r="G13" s="63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V49"/>
  <sheetViews>
    <sheetView workbookViewId="0">
      <selection activeCell="T7" sqref="T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  <col width="9.140625" customWidth="1" style="25" min="21" max="22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7" t="n">
        <v>0.006614258948515647</v>
      </c>
      <c r="M3" t="inlineStr">
        <is>
          <t>Objectif :</t>
        </is>
      </c>
      <c r="N3" s="23">
        <f>(INDEX(N5:N26,MATCH(MAX(O6),O5:O26,0))/0.85)</f>
        <v/>
      </c>
      <c r="O3" s="93">
        <f>(MAX(O6)*0.75)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599.4</v>
      </c>
      <c r="C5" s="84">
        <f>(D5/B5)</f>
        <v/>
      </c>
      <c r="D5" s="6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63">
        <f>(C5)</f>
        <v/>
      </c>
      <c r="T5" s="63">
        <f>(R5*S5)</f>
        <v/>
      </c>
    </row>
    <row r="6">
      <c r="B6" t="n">
        <v>-112.14534036</v>
      </c>
      <c r="C6" s="63">
        <f>D6/B6</f>
        <v/>
      </c>
      <c r="D6" s="63">
        <f>-0.973296</f>
        <v/>
      </c>
      <c r="M6" t="inlineStr">
        <is>
          <t>Objectif</t>
        </is>
      </c>
      <c r="N6" s="18">
        <f>($B$5/5)</f>
        <v/>
      </c>
      <c r="O6" s="91">
        <f>($C$5*[1]Params!K8)</f>
        <v/>
      </c>
      <c r="P6" s="63">
        <f>(O6*N6)</f>
        <v/>
      </c>
      <c r="Q6" t="inlineStr">
        <is>
          <t>Done</t>
        </is>
      </c>
      <c r="R6">
        <f>B7</f>
        <v/>
      </c>
      <c r="S6" s="63" t="n">
        <v>0</v>
      </c>
      <c r="T6" s="63">
        <f>D6</f>
        <v/>
      </c>
    </row>
    <row r="7">
      <c r="C7" s="63" t="n"/>
      <c r="D7" s="63" t="n"/>
      <c r="N7" s="74">
        <f>$B$10/4</f>
        <v/>
      </c>
      <c r="O7" s="91">
        <f>($C$5*[1]Params!K9)</f>
        <v/>
      </c>
      <c r="P7" s="63">
        <f>(O7*N7)</f>
        <v/>
      </c>
      <c r="R7" s="23" t="n"/>
      <c r="S7" s="63" t="n"/>
      <c r="T7" s="63" t="n"/>
    </row>
    <row r="8">
      <c r="C8" s="63" t="n"/>
      <c r="D8" s="63" t="n"/>
      <c r="N8" s="74">
        <f>$B$10/4</f>
        <v/>
      </c>
      <c r="O8" s="91">
        <f>($C$5*[1]Params!K10)</f>
        <v/>
      </c>
      <c r="P8" s="63">
        <f>(O8*N8)</f>
        <v/>
      </c>
      <c r="R8" s="23" t="n"/>
      <c r="S8" s="63" t="n"/>
      <c r="T8" s="63" t="n"/>
    </row>
    <row r="9">
      <c r="C9" s="63" t="n"/>
      <c r="D9" s="63" t="n"/>
      <c r="F9" t="inlineStr">
        <is>
          <t>Moy</t>
        </is>
      </c>
      <c r="G9" s="63">
        <f>(D10/B10)</f>
        <v/>
      </c>
      <c r="N9" s="74">
        <f>$B$10/4</f>
        <v/>
      </c>
      <c r="O9" s="91">
        <f>($C$5*[1]Params!K11)</f>
        <v/>
      </c>
      <c r="P9" s="63">
        <f>(O9*N9)</f>
        <v/>
      </c>
      <c r="R9" s="23" t="n"/>
      <c r="S9" s="63" t="n"/>
      <c r="T9" s="63" t="n"/>
    </row>
    <row r="10">
      <c r="B10">
        <f>(SUM(B5:B9))</f>
        <v/>
      </c>
      <c r="C10" s="63" t="n"/>
      <c r="D10" s="63">
        <f>(SUM(D5:D9))</f>
        <v/>
      </c>
      <c r="O10" s="63" t="n"/>
      <c r="P10" s="63" t="n"/>
      <c r="S10" s="63" t="n"/>
      <c r="T10" s="63" t="n"/>
    </row>
    <row r="11">
      <c r="O11" s="63" t="n"/>
      <c r="P11" s="63">
        <f>(SUM(P6:P9))</f>
        <v/>
      </c>
      <c r="S11" s="63" t="n"/>
      <c r="T11" s="63" t="n"/>
    </row>
    <row r="12">
      <c r="R12" s="23" t="n"/>
      <c r="S12" s="63" t="n"/>
      <c r="T12" s="63" t="n"/>
    </row>
    <row r="13">
      <c r="R13">
        <f>(SUM(R5:R12))</f>
        <v/>
      </c>
      <c r="S13" s="63" t="n"/>
      <c r="T13" s="63">
        <f>(SUM(T5:T12))</f>
        <v/>
      </c>
    </row>
    <row r="14">
      <c r="R14" s="23" t="n"/>
      <c r="S14" s="63" t="n"/>
      <c r="T14" s="63" t="n"/>
    </row>
    <row r="15">
      <c r="R15" s="23" t="n"/>
      <c r="S15" s="63" t="n"/>
      <c r="T15" s="63" t="n"/>
    </row>
    <row r="16">
      <c r="R16" s="23" t="n"/>
      <c r="S16" s="63" t="n"/>
      <c r="T16" s="63" t="n"/>
      <c r="V16" s="64" t="n"/>
    </row>
    <row r="17">
      <c r="R17" s="23" t="n"/>
      <c r="S17" s="63" t="n"/>
      <c r="T17" s="63" t="n"/>
      <c r="V17" s="64" t="n"/>
    </row>
    <row r="18">
      <c r="R18" s="23" t="n"/>
      <c r="S18" s="64" t="n"/>
      <c r="T18" s="64" t="n"/>
      <c r="V18" s="64" t="n"/>
    </row>
    <row r="19">
      <c r="R19" s="23" t="n"/>
      <c r="S19" s="64" t="n"/>
      <c r="T19" s="63" t="n"/>
    </row>
    <row r="20">
      <c r="R20" s="23" t="n"/>
      <c r="S20" s="63" t="n"/>
      <c r="T20" s="63" t="n"/>
    </row>
    <row r="21">
      <c r="R21" s="23" t="n"/>
      <c r="S21" s="63" t="n"/>
      <c r="T21" s="63" t="n"/>
    </row>
    <row r="22">
      <c r="R22" s="23" t="n"/>
      <c r="S22" s="63" t="n"/>
      <c r="T22" s="63" t="n"/>
    </row>
    <row r="23">
      <c r="R23" s="23" t="n"/>
      <c r="S23" s="64" t="n"/>
      <c r="T23" s="64" t="n"/>
    </row>
    <row r="24">
      <c r="R24" s="23" t="n"/>
      <c r="S24" s="63" t="n"/>
      <c r="T24" s="63" t="n"/>
    </row>
    <row r="29">
      <c r="R29" s="23" t="n"/>
      <c r="S29" s="63" t="n"/>
      <c r="T29" s="63" t="n"/>
    </row>
    <row r="30">
      <c r="R30" s="23" t="n"/>
      <c r="S30" s="63" t="n"/>
      <c r="T30" s="63" t="n"/>
    </row>
    <row r="31">
      <c r="S31" s="63" t="n"/>
      <c r="T31" s="63" t="n"/>
    </row>
    <row r="32">
      <c r="S32" s="63" t="n"/>
      <c r="T32" s="63" t="n"/>
    </row>
    <row r="33">
      <c r="S33" s="63" t="n"/>
      <c r="T33" s="63" t="n"/>
      <c r="U33" s="64" t="n"/>
    </row>
    <row r="34">
      <c r="S34" s="63" t="n"/>
      <c r="T34" s="63" t="n"/>
    </row>
    <row r="35">
      <c r="S35" s="63" t="n"/>
      <c r="T35" s="63" t="n"/>
    </row>
    <row r="36">
      <c r="S36" s="63" t="n"/>
      <c r="T36" s="63" t="n"/>
    </row>
    <row r="37">
      <c r="S37" s="63" t="n"/>
      <c r="T37" s="63" t="n"/>
    </row>
    <row r="38">
      <c r="S38" s="63" t="n"/>
      <c r="T38" s="63" t="n"/>
    </row>
    <row r="39">
      <c r="S39" s="63" t="n"/>
      <c r="T39" s="63" t="n"/>
    </row>
    <row r="40">
      <c r="S40" s="63" t="n"/>
      <c r="T40" s="63" t="n"/>
    </row>
    <row r="41">
      <c r="S41" s="63" t="n"/>
      <c r="T41" s="63" t="n"/>
    </row>
    <row r="42">
      <c r="S42" s="63" t="n"/>
      <c r="T42" s="63" t="n"/>
    </row>
    <row r="43">
      <c r="S43" s="63" t="n"/>
      <c r="T43" s="63" t="n"/>
    </row>
    <row r="44">
      <c r="S44" s="63" t="n"/>
      <c r="T44" s="63" t="n"/>
    </row>
    <row r="45">
      <c r="S45" s="63" t="n"/>
      <c r="T45" s="63" t="n"/>
    </row>
    <row r="46">
      <c r="S46" s="63" t="n"/>
      <c r="T46" s="63" t="n"/>
    </row>
    <row r="47">
      <c r="S47" s="63" t="n"/>
      <c r="T47" s="63" t="n"/>
    </row>
    <row r="48">
      <c r="R48" s="23">
        <f>(SUM(R5:R36))</f>
        <v/>
      </c>
      <c r="S48" s="63" t="n"/>
      <c r="T48" s="63">
        <f>(SUM(T5:T36))</f>
        <v/>
      </c>
      <c r="V48" t="inlineStr">
        <is>
          <t>Moy</t>
        </is>
      </c>
    </row>
    <row r="49">
      <c r="S49" s="63" t="n"/>
      <c r="T49" s="63" t="n"/>
    </row>
  </sheetData>
  <conditionalFormatting sqref="C5 G9 O7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tabSelected="1" topLeftCell="A4" workbookViewId="0">
      <selection activeCell="Q46" sqref="Q46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132.1996353159481</v>
      </c>
      <c r="M3" t="inlineStr">
        <is>
          <t>Objectif :</t>
        </is>
      </c>
      <c r="N3" s="23">
        <f>(INDEX(N5:N26,MATCH(MAX(O6:O9,O23:O25,O14:O17),O5:O26,0))/0.85)</f>
        <v/>
      </c>
      <c r="O3" s="64">
        <f>(MAX(O14:O17,O23:O25,O6:O9)*0.75)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63">
        <f>(B48*J3)</f>
        <v/>
      </c>
      <c r="K4" s="4">
        <f>(J4/D48-1)</f>
        <v/>
      </c>
      <c r="O4" s="63" t="n"/>
      <c r="P4" s="6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63" t="n">
        <v>196</v>
      </c>
      <c r="D5" s="63">
        <f>(B5*C5)</f>
        <v/>
      </c>
      <c r="E5" s="6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3">
        <f>(C5)</f>
        <v/>
      </c>
      <c r="T5" s="63">
        <f>(R5*S5)</f>
        <v/>
      </c>
    </row>
    <row r="6">
      <c r="B6" s="23">
        <f>(-0.00801)</f>
        <v/>
      </c>
      <c r="C6" s="63">
        <f>(D6/B6)</f>
        <v/>
      </c>
      <c r="D6" s="63" t="n">
        <v>-0.300785</v>
      </c>
      <c r="E6" s="63" t="n"/>
      <c r="M6" t="inlineStr">
        <is>
          <t>Objectif</t>
        </is>
      </c>
      <c r="N6" s="23">
        <f>($B$15/5)</f>
        <v/>
      </c>
      <c r="O6" s="63">
        <f>(C22)</f>
        <v/>
      </c>
      <c r="P6" s="63">
        <f>(O6*N6)</f>
        <v/>
      </c>
      <c r="Q6" t="inlineStr">
        <is>
          <t>Done</t>
        </is>
      </c>
      <c r="R6" s="23">
        <f>(B6+B7+B8+B9+B10+B11)</f>
        <v/>
      </c>
      <c r="S6" s="63" t="n">
        <v>0</v>
      </c>
      <c r="T6" s="63">
        <f>(D6+D7+D8+D9)+D10+D11</f>
        <v/>
      </c>
    </row>
    <row r="7">
      <c r="B7" s="23" t="n">
        <v>-0.007325</v>
      </c>
      <c r="C7" s="63">
        <f>(D7/B7)</f>
        <v/>
      </c>
      <c r="D7" s="63" t="n">
        <v>-0.3</v>
      </c>
      <c r="E7" s="63" t="n"/>
      <c r="N7" s="23">
        <f>-B35</f>
        <v/>
      </c>
      <c r="O7" s="63">
        <f>P7/N7</f>
        <v/>
      </c>
      <c r="P7" s="63">
        <f>-D35</f>
        <v/>
      </c>
      <c r="Q7" t="inlineStr">
        <is>
          <t>Done</t>
        </is>
      </c>
      <c r="R7" s="23">
        <f>B12+B13+B14</f>
        <v/>
      </c>
      <c r="S7" s="63" t="n">
        <v>0</v>
      </c>
      <c r="T7" s="63">
        <f>(R7*S7)</f>
        <v/>
      </c>
    </row>
    <row r="8">
      <c r="B8" s="23">
        <f>(0.00803628-0.0000683)</f>
        <v/>
      </c>
      <c r="C8" s="63">
        <f>(D8/B8)</f>
        <v/>
      </c>
      <c r="D8" s="63" t="n">
        <v>0.29</v>
      </c>
      <c r="E8" s="63" t="n"/>
      <c r="N8" s="23">
        <f>(($B$15+$R$16)/5)</f>
        <v/>
      </c>
      <c r="O8" s="63">
        <f>C37</f>
        <v/>
      </c>
      <c r="P8" s="63">
        <f>-D37</f>
        <v/>
      </c>
      <c r="Q8" t="inlineStr">
        <is>
          <t>Done</t>
        </is>
      </c>
      <c r="R8" s="23">
        <f>(B15+B22)</f>
        <v/>
      </c>
      <c r="S8" s="63">
        <f>(T8/R8)</f>
        <v/>
      </c>
      <c r="T8" s="63">
        <f>(D15+D22)</f>
        <v/>
      </c>
    </row>
    <row r="9">
      <c r="B9" s="23">
        <f>(0.00884882-0.00007521)</f>
        <v/>
      </c>
      <c r="C9" s="63">
        <f>(D9/B9)</f>
        <v/>
      </c>
      <c r="D9" s="63" t="n">
        <v>0.28</v>
      </c>
      <c r="E9" s="63" t="n"/>
      <c r="N9" s="23">
        <f>(($B$15+$R$16)/5)</f>
        <v/>
      </c>
      <c r="O9" s="63">
        <f>($C$15*[1]Params!K11)</f>
        <v/>
      </c>
      <c r="P9" s="63">
        <f>(O9*N9)</f>
        <v/>
      </c>
      <c r="Q9" t="inlineStr">
        <is>
          <t>Done</t>
        </is>
      </c>
      <c r="R9" s="23">
        <f>(B16+B20+B36-N16-N17)</f>
        <v/>
      </c>
      <c r="S9" s="63">
        <f>(T9/R9)</f>
        <v/>
      </c>
      <c r="T9" s="63">
        <f>(D16+11.97*B20+B36*19.42078-N16*19.42078-N17*21.3811)</f>
        <v/>
      </c>
      <c r="U9" t="inlineStr">
        <is>
          <t>DCA1</t>
        </is>
      </c>
    </row>
    <row r="10">
      <c r="B10" s="23" t="n">
        <v>0.10169404</v>
      </c>
      <c r="C10" s="63">
        <f>(D10/B10)</f>
        <v/>
      </c>
      <c r="D10" s="63" t="n">
        <v>3.56</v>
      </c>
      <c r="E10" s="63" t="n"/>
      <c r="O10" s="63" t="n"/>
      <c r="P10" s="63" t="n"/>
      <c r="R10" s="24">
        <f>(B17)</f>
        <v/>
      </c>
      <c r="S10" s="66">
        <f>(C17)</f>
        <v/>
      </c>
      <c r="T10" s="67">
        <f>(D17)</f>
        <v/>
      </c>
    </row>
    <row r="11">
      <c r="B11" s="23" t="n">
        <v>-0.1</v>
      </c>
      <c r="C11" s="63">
        <f>(D11/B11)</f>
        <v/>
      </c>
      <c r="D11" s="63" t="n">
        <v>-3.7812</v>
      </c>
      <c r="E11" s="63" t="n"/>
      <c r="O11" s="63" t="n"/>
      <c r="P11" s="63">
        <f>(SUM(P6:P9))</f>
        <v/>
      </c>
      <c r="R11" s="23">
        <f>B18+B21+B38-N25</f>
        <v/>
      </c>
      <c r="S11" s="63">
        <f>(T11/R11)</f>
        <v/>
      </c>
      <c r="T11" s="63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63" t="n">
        <v>0</v>
      </c>
      <c r="D12" s="63" t="n">
        <v>0</v>
      </c>
      <c r="E12" s="63">
        <f>(B12*$J$3)</f>
        <v/>
      </c>
      <c r="O12" s="63" t="n"/>
      <c r="P12" s="63" t="n"/>
      <c r="R12" s="23">
        <f>(B19)</f>
        <v/>
      </c>
      <c r="S12" s="63">
        <f>(T12/R12)</f>
        <v/>
      </c>
      <c r="T12" s="63">
        <f>(D19)</f>
        <v/>
      </c>
    </row>
    <row r="13">
      <c r="B13" s="23">
        <f>(0.60148-0.595318987)</f>
        <v/>
      </c>
      <c r="C13" s="63" t="n">
        <v>0</v>
      </c>
      <c r="D13" s="63" t="n">
        <v>0</v>
      </c>
      <c r="E13" s="63">
        <f>(B13*$J$3)</f>
        <v/>
      </c>
      <c r="F13" s="6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63" t="n">
        <v>0</v>
      </c>
      <c r="T13" s="63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63" t="n">
        <v>0</v>
      </c>
      <c r="D14" s="63" t="n">
        <v>0</v>
      </c>
      <c r="E14" s="63">
        <f>(B14*$J$3)</f>
        <v/>
      </c>
      <c r="I14" s="23" t="n"/>
      <c r="M14" t="inlineStr">
        <is>
          <t>Objectif</t>
        </is>
      </c>
      <c r="N14" s="23">
        <f>(-B20)</f>
        <v/>
      </c>
      <c r="O14" s="63">
        <f>(C20)</f>
        <v/>
      </c>
      <c r="P14" s="63">
        <f>(O14*N14)</f>
        <v/>
      </c>
      <c r="Q14" t="inlineStr">
        <is>
          <t>Done</t>
        </is>
      </c>
      <c r="R14" s="23">
        <f>(B21-B21)</f>
        <v/>
      </c>
      <c r="S14" s="63" t="n">
        <v>0</v>
      </c>
      <c r="T14" s="63">
        <f>(12.6*-B21+D21)</f>
        <v/>
      </c>
      <c r="U14" t="inlineStr">
        <is>
          <t>DCA2 1/5</t>
        </is>
      </c>
    </row>
    <row r="15">
      <c r="B15" s="23" t="n">
        <v>0.49053</v>
      </c>
      <c r="C15" s="63">
        <f>(D15/B15)</f>
        <v/>
      </c>
      <c r="D15" s="63" t="n">
        <v>6.3</v>
      </c>
      <c r="E15" s="63" t="n"/>
      <c r="N15" s="23">
        <f>-B36</f>
        <v/>
      </c>
      <c r="O15" s="63">
        <f>C36</f>
        <v/>
      </c>
      <c r="P15" s="63">
        <f>(O15*N15)</f>
        <v/>
      </c>
      <c r="Q15" t="inlineStr">
        <is>
          <t>Done</t>
        </is>
      </c>
      <c r="R15" s="26">
        <f>(B25+B26)+B42+B43</f>
        <v/>
      </c>
      <c r="S15" s="96" t="n">
        <v>0</v>
      </c>
      <c r="T15" s="96">
        <f>(D25+D26)+D42+D43</f>
        <v/>
      </c>
      <c r="U15" s="27" t="inlineStr">
        <is>
          <t>DCA2*</t>
        </is>
      </c>
      <c r="V15" s="97">
        <f>-T15+R15*$J$3</f>
        <v/>
      </c>
    </row>
    <row r="16">
      <c r="B16" s="23" t="n">
        <v>6.12877641</v>
      </c>
      <c r="C16" s="63">
        <f>(D16/B16)</f>
        <v/>
      </c>
      <c r="D16" s="63" t="n">
        <v>131.04</v>
      </c>
      <c r="E16" t="inlineStr">
        <is>
          <t>DCA1</t>
        </is>
      </c>
      <c r="N16" s="23">
        <f>-B39-N25</f>
        <v/>
      </c>
      <c r="O16" s="63">
        <f>C39</f>
        <v/>
      </c>
      <c r="P16" s="63">
        <f>(O16*N16)</f>
        <v/>
      </c>
      <c r="Q16" t="inlineStr">
        <is>
          <t>Done</t>
        </is>
      </c>
      <c r="R16" s="26">
        <f>(B27+B24+B32+B33+B28+B34)</f>
        <v/>
      </c>
      <c r="S16" s="96" t="n">
        <v>0</v>
      </c>
      <c r="T16" s="96">
        <f>(D27+D24+D32+D33+D28+D34)</f>
        <v/>
      </c>
      <c r="U16" s="27" t="inlineStr">
        <is>
          <t>Ph*</t>
        </is>
      </c>
      <c r="V16" s="97">
        <f>-T16+R16*$J$3</f>
        <v/>
      </c>
    </row>
    <row r="17">
      <c r="B17" s="24" t="n">
        <v>0.06511594</v>
      </c>
      <c r="C17" s="66" t="n">
        <v>0</v>
      </c>
      <c r="D17" s="67" t="n">
        <v>0</v>
      </c>
      <c r="E17" s="64">
        <f>B17*J3</f>
        <v/>
      </c>
      <c r="N17" s="23">
        <f>-B46</f>
        <v/>
      </c>
      <c r="O17" s="63">
        <f>P17/N17</f>
        <v/>
      </c>
      <c r="P17" s="63">
        <f>-D46</f>
        <v/>
      </c>
      <c r="Q17" t="inlineStr">
        <is>
          <t>Done</t>
        </is>
      </c>
      <c r="R17" s="26">
        <f>B30+B23+B29+B31+B41+B44</f>
        <v/>
      </c>
      <c r="S17" s="96" t="n">
        <v>0</v>
      </c>
      <c r="T17" s="96">
        <f>D30+D23+D29+D31+D41+D44</f>
        <v/>
      </c>
      <c r="U17" s="27" t="inlineStr">
        <is>
          <t>DCA1*</t>
        </is>
      </c>
      <c r="V17" s="97">
        <f>-T17+R17*$J$3</f>
        <v/>
      </c>
    </row>
    <row r="18">
      <c r="B18" s="23" t="n">
        <v>1.93147307</v>
      </c>
      <c r="C18" s="63">
        <f>(D18/B18)</f>
        <v/>
      </c>
      <c r="D18" s="63" t="n">
        <v>45.9</v>
      </c>
      <c r="E18" t="inlineStr">
        <is>
          <t>DCA2</t>
        </is>
      </c>
      <c r="N18" s="23" t="n"/>
      <c r="O18" s="63" t="n"/>
      <c r="P18" s="63" t="n"/>
      <c r="R18" s="23">
        <f>B35</f>
        <v/>
      </c>
      <c r="S18" s="64">
        <f>T18/R18</f>
        <v/>
      </c>
      <c r="T18" s="64">
        <f>D35</f>
        <v/>
      </c>
      <c r="U18" t="inlineStr">
        <is>
          <t>Ph 2/5</t>
        </is>
      </c>
    </row>
    <row r="19">
      <c r="B19" s="23" t="n">
        <v>0.0414744</v>
      </c>
      <c r="C19" s="63">
        <f>(D19/B19)</f>
        <v/>
      </c>
      <c r="D19" s="63" t="n">
        <v>0.5</v>
      </c>
      <c r="E19" s="63" t="n"/>
      <c r="O19" s="63" t="n"/>
      <c r="P19" s="63">
        <f>(SUM(P14:P17))</f>
        <v/>
      </c>
      <c r="R19" s="23">
        <f>B36-B36</f>
        <v/>
      </c>
      <c r="S19" s="64" t="n">
        <v>0</v>
      </c>
      <c r="T19" s="63">
        <f>D36-B36*19.42078</f>
        <v/>
      </c>
      <c r="U19" t="inlineStr">
        <is>
          <t>DCA1 2/5</t>
        </is>
      </c>
    </row>
    <row r="20">
      <c r="B20" s="23" t="n">
        <v>-0.2809</v>
      </c>
      <c r="C20" s="63">
        <f>(D20/B20)</f>
        <v/>
      </c>
      <c r="D20" s="63" t="n">
        <v>-4.2022</v>
      </c>
      <c r="E20" s="63" t="n"/>
      <c r="N20" s="23" t="n"/>
      <c r="O20" s="63" t="n"/>
      <c r="P20" s="63" t="n"/>
      <c r="R20" s="23">
        <f>B37</f>
        <v/>
      </c>
      <c r="S20" s="63">
        <f>T20/R20</f>
        <v/>
      </c>
      <c r="T20" s="63">
        <f>D37</f>
        <v/>
      </c>
      <c r="U20" t="inlineStr">
        <is>
          <t>Ph 3/5</t>
        </is>
      </c>
    </row>
    <row r="21">
      <c r="B21" s="23" t="n">
        <v>-0.07144</v>
      </c>
      <c r="C21" s="63">
        <f>(D21/B21)</f>
        <v/>
      </c>
      <c r="D21" s="63" t="n">
        <v>-1.16310352</v>
      </c>
      <c r="E21" s="63" t="n"/>
      <c r="G21" s="64" t="n"/>
      <c r="I21" s="64" t="n"/>
      <c r="O21" s="63" t="n"/>
      <c r="P21" s="63" t="n"/>
      <c r="R21" s="23">
        <f>B38-B38</f>
        <v/>
      </c>
      <c r="S21" s="63" t="n">
        <v>0</v>
      </c>
      <c r="T21" s="63">
        <f>D38-B38*20.2393</f>
        <v/>
      </c>
      <c r="U21" t="inlineStr">
        <is>
          <t>DCA2 2/5</t>
        </is>
      </c>
    </row>
    <row r="22">
      <c r="B22" s="23" t="n">
        <v>-0.09811</v>
      </c>
      <c r="C22" s="63">
        <f>(D22/B22)</f>
        <v/>
      </c>
      <c r="D22" s="63" t="n">
        <v>-1.59267</v>
      </c>
      <c r="E22" s="6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63" t="n">
        <v>0</v>
      </c>
      <c r="T22" s="63">
        <f>-57.77+(N16)*19.42078</f>
        <v/>
      </c>
      <c r="U22" t="inlineStr">
        <is>
          <t>DCA1 3/5</t>
        </is>
      </c>
    </row>
    <row r="23">
      <c r="B23" s="23" t="n">
        <v>-0.31</v>
      </c>
      <c r="C23" s="63">
        <f>(D23/B23)</f>
        <v/>
      </c>
      <c r="D23" s="63" t="n">
        <v>-5.704</v>
      </c>
      <c r="E23" s="63" t="n"/>
      <c r="M23" t="inlineStr">
        <is>
          <t>Objectif</t>
        </is>
      </c>
      <c r="N23" s="23">
        <f>(-B21)</f>
        <v/>
      </c>
      <c r="O23" s="63">
        <f>(C21)</f>
        <v/>
      </c>
      <c r="P23" s="63">
        <f>(O23*N23)</f>
        <v/>
      </c>
      <c r="Q23" t="inlineStr">
        <is>
          <t>Done</t>
        </is>
      </c>
      <c r="R23" s="23">
        <f>N25-N25</f>
        <v/>
      </c>
      <c r="S23" s="64" t="n">
        <v>0</v>
      </c>
      <c r="T23" s="64">
        <f>-P25+N25*20.2393</f>
        <v/>
      </c>
      <c r="U23" t="inlineStr">
        <is>
          <t>DCA2 3/5</t>
        </is>
      </c>
    </row>
    <row r="24">
      <c r="B24" s="23" t="n">
        <v>-0.098095</v>
      </c>
      <c r="C24" s="63">
        <f>(D24/B24)</f>
        <v/>
      </c>
      <c r="D24" s="63" t="n">
        <v>-2.16</v>
      </c>
      <c r="E24" s="63" t="n"/>
      <c r="N24" s="23">
        <f>-B38</f>
        <v/>
      </c>
      <c r="O24" s="63">
        <f>($S$11*[1]Params!K9)</f>
        <v/>
      </c>
      <c r="P24" s="63">
        <f>(O24*N24)</f>
        <v/>
      </c>
      <c r="Q24" t="inlineStr">
        <is>
          <t>Done</t>
        </is>
      </c>
      <c r="R24" s="23">
        <f>B40</f>
        <v/>
      </c>
      <c r="S24" s="63">
        <f>C40</f>
        <v/>
      </c>
      <c r="T24" s="63">
        <f>D40</f>
        <v/>
      </c>
      <c r="U24" t="inlineStr">
        <is>
          <t>Ph 4/5</t>
        </is>
      </c>
    </row>
    <row r="25">
      <c r="B25" s="23">
        <f>(-0.05715)</f>
        <v/>
      </c>
      <c r="C25" s="63">
        <f>(D25/B25)</f>
        <v/>
      </c>
      <c r="D25" s="63" t="n">
        <v>-1.25988073</v>
      </c>
      <c r="E25" s="63" t="n"/>
      <c r="N25" s="23">
        <f>0.382</f>
        <v/>
      </c>
      <c r="O25" s="63">
        <f>C39</f>
        <v/>
      </c>
      <c r="P25" s="63">
        <f>(O25*N25)</f>
        <v/>
      </c>
      <c r="Q25" t="inlineStr">
        <is>
          <t>Done</t>
        </is>
      </c>
      <c r="R25" s="23">
        <f>N17-N17</f>
        <v/>
      </c>
      <c r="S25" s="63" t="n">
        <v>0</v>
      </c>
      <c r="T25" s="63">
        <f>-P17+N17*21.3811</f>
        <v/>
      </c>
      <c r="U25" t="inlineStr">
        <is>
          <t>DCA1 4/5</t>
        </is>
      </c>
    </row>
    <row r="26">
      <c r="B26" s="23" t="n">
        <v>0.06353443</v>
      </c>
      <c r="C26" s="63">
        <f>(D26/B26)</f>
        <v/>
      </c>
      <c r="D26" s="63" t="n">
        <v>1.19</v>
      </c>
      <c r="E26" s="63" t="n"/>
      <c r="N26" s="23">
        <f>4*($B$18+$R$15)/5-$N$25-$N$24-$N$23</f>
        <v/>
      </c>
      <c r="O26" s="63">
        <f>($S$11*[1]Params!K11)</f>
        <v/>
      </c>
      <c r="P26" s="63">
        <f>O26*N26</f>
        <v/>
      </c>
    </row>
    <row r="27">
      <c r="B27" s="23">
        <f>(0.02767109+0.08304053-0.00094104)</f>
        <v/>
      </c>
      <c r="C27" s="63">
        <f>(D27/B27)</f>
        <v/>
      </c>
      <c r="D27" s="63" t="n">
        <v>2.04</v>
      </c>
      <c r="E27" s="63" t="n"/>
      <c r="O27" s="63" t="n"/>
      <c r="P27" s="63" t="n"/>
    </row>
    <row r="28">
      <c r="B28" s="23" t="n">
        <v>-0.102</v>
      </c>
      <c r="C28" s="63">
        <f>(D28/B28)</f>
        <v/>
      </c>
      <c r="D28" s="63">
        <f>(-2.275+0.019338)</f>
        <v/>
      </c>
      <c r="E28" s="63" t="n"/>
      <c r="O28" s="63" t="n"/>
      <c r="P28" s="63">
        <f>(SUM(P23:P26))</f>
        <v/>
      </c>
    </row>
    <row r="29">
      <c r="B29" s="23" t="n">
        <v>0.11322</v>
      </c>
      <c r="C29" s="63">
        <f>(D29/B29)</f>
        <v/>
      </c>
      <c r="D29" s="63" t="n">
        <v>2.13</v>
      </c>
      <c r="E29" s="63" t="n"/>
      <c r="N29" s="23" t="n"/>
      <c r="R29" s="23" t="n"/>
      <c r="S29" s="63" t="n"/>
      <c r="T29" s="63" t="n"/>
    </row>
    <row r="30">
      <c r="B30" s="23" t="n">
        <v>0.34735262</v>
      </c>
      <c r="C30" s="63">
        <f>(D30/B30)</f>
        <v/>
      </c>
      <c r="D30" s="63" t="n">
        <v>5.38</v>
      </c>
      <c r="E30" s="63" t="n"/>
      <c r="N30" s="23" t="n"/>
      <c r="P30" s="23" t="n"/>
      <c r="R30" s="23" t="n"/>
      <c r="S30" s="63" t="n"/>
      <c r="T30" s="63" t="n"/>
    </row>
    <row r="31">
      <c r="B31" s="23" t="n">
        <v>-0.1055</v>
      </c>
      <c r="C31" s="63">
        <f>(D31/B31)</f>
        <v/>
      </c>
      <c r="D31" s="63" t="n">
        <v>-2.26115192</v>
      </c>
      <c r="E31" s="63" t="n"/>
      <c r="S31" s="63" t="n"/>
      <c r="T31" s="63" t="n"/>
    </row>
    <row r="32">
      <c r="B32" s="23" t="n">
        <v>-0.1</v>
      </c>
      <c r="C32" s="63">
        <f>D32/B32</f>
        <v/>
      </c>
      <c r="D32" s="63">
        <f>-2.8715+0.024408</f>
        <v/>
      </c>
      <c r="E32" s="63" t="n"/>
      <c r="S32" s="63" t="n"/>
      <c r="T32" s="63" t="n"/>
    </row>
    <row r="33">
      <c r="B33" s="23">
        <f>0.11560694-0.00098265-0.0000162</f>
        <v/>
      </c>
      <c r="C33" s="63">
        <f>D33/B33</f>
        <v/>
      </c>
      <c r="D33" s="63" t="n">
        <v>2.68</v>
      </c>
      <c r="E33" s="63" t="n"/>
      <c r="S33" s="63" t="n"/>
      <c r="T33" s="63" t="n"/>
      <c r="U33" s="64" t="n"/>
    </row>
    <row r="34">
      <c r="B34" s="23" t="n">
        <v>0.11518</v>
      </c>
      <c r="C34" s="63">
        <f>D34/B34</f>
        <v/>
      </c>
      <c r="D34" s="63" t="n">
        <v>2.13</v>
      </c>
      <c r="E34" s="63" t="n"/>
      <c r="S34" s="63" t="n"/>
      <c r="T34" s="63" t="n"/>
    </row>
    <row r="35">
      <c r="B35" s="23" t="n">
        <v>-0.10885</v>
      </c>
      <c r="C35" s="63">
        <f>D35/B35</f>
        <v/>
      </c>
      <c r="D35" s="63" t="n">
        <v>-2.606</v>
      </c>
      <c r="E35" s="63" t="n"/>
      <c r="F35" s="23" t="n"/>
      <c r="H35" s="64" t="n"/>
      <c r="J35" s="64" t="n"/>
      <c r="S35" s="63" t="n"/>
      <c r="T35" s="63" t="n"/>
    </row>
    <row r="36">
      <c r="B36" s="23" t="n">
        <v>-2.08</v>
      </c>
      <c r="C36" s="63">
        <f>D36/B36</f>
        <v/>
      </c>
      <c r="D36" s="63" t="n">
        <v>-65.30216475</v>
      </c>
      <c r="E36" s="63" t="n"/>
      <c r="S36" s="63" t="n"/>
      <c r="T36" s="63" t="n"/>
    </row>
    <row r="37">
      <c r="B37" s="23" t="n">
        <v>-0.1</v>
      </c>
      <c r="C37" s="63">
        <f>D37/B37</f>
        <v/>
      </c>
      <c r="D37" s="63">
        <f>-3.1462+0.026743</f>
        <v/>
      </c>
      <c r="E37" s="63" t="n"/>
      <c r="S37" s="63" t="n"/>
      <c r="T37" s="63" t="n"/>
    </row>
    <row r="38">
      <c r="B38" s="23" t="n">
        <v>-0.65</v>
      </c>
      <c r="C38" s="63">
        <f>D38/B38</f>
        <v/>
      </c>
      <c r="D38" s="63">
        <f>-21.40712492</f>
        <v/>
      </c>
      <c r="E38" s="63" t="n"/>
      <c r="N38" s="23" t="n"/>
      <c r="P38" s="64" t="n"/>
      <c r="Q38" s="64" t="n"/>
      <c r="S38" s="63" t="n"/>
      <c r="T38" s="63" t="n"/>
    </row>
    <row r="39">
      <c r="B39" s="23" t="n">
        <v>-1.6148</v>
      </c>
      <c r="C39" s="63">
        <f>D39/B39</f>
        <v/>
      </c>
      <c r="D39" s="63" t="n">
        <v>-75.67129853</v>
      </c>
      <c r="E39" s="63" t="n"/>
      <c r="N39" s="23">
        <f>N16+N25</f>
        <v/>
      </c>
      <c r="S39" s="63" t="n"/>
      <c r="T39" s="63" t="n"/>
    </row>
    <row r="40">
      <c r="B40" s="23" t="n">
        <v>-0.1088</v>
      </c>
      <c r="C40" s="63">
        <f>D40/B40</f>
        <v/>
      </c>
      <c r="D40" s="63">
        <f>-6.4064+0.054455</f>
        <v/>
      </c>
      <c r="E40" s="63" t="n"/>
      <c r="S40" s="63" t="n"/>
      <c r="T40" s="63" t="n"/>
    </row>
    <row r="41">
      <c r="B41" s="23" t="n">
        <v>-1.23</v>
      </c>
      <c r="C41" s="63">
        <f>D41/B41</f>
        <v/>
      </c>
      <c r="D41" s="63" t="n">
        <v>-136.74053841</v>
      </c>
      <c r="E41" s="63" t="n"/>
      <c r="S41" s="63" t="n"/>
      <c r="T41" s="63" t="n"/>
    </row>
    <row r="42">
      <c r="B42" s="23" t="n">
        <v>-0.375</v>
      </c>
      <c r="C42" s="63">
        <f>D42/B42</f>
        <v/>
      </c>
      <c r="D42" s="63" t="n">
        <v>-46.12956124</v>
      </c>
      <c r="E42" s="63" t="n"/>
      <c r="S42" s="63" t="n"/>
      <c r="T42" s="63" t="n"/>
    </row>
    <row r="43">
      <c r="B43" s="23" t="n">
        <v>0.42808296</v>
      </c>
      <c r="C43" s="63">
        <f>D43/B43</f>
        <v/>
      </c>
      <c r="D43" s="63" t="n">
        <v>43.5</v>
      </c>
      <c r="E43" s="63" t="n"/>
      <c r="S43" s="63" t="n"/>
      <c r="T43" s="63" t="n"/>
    </row>
    <row r="44">
      <c r="B44" s="23" t="n">
        <v>1.5</v>
      </c>
      <c r="C44" s="63">
        <f>D44/B44</f>
        <v/>
      </c>
      <c r="D44" s="63">
        <f>120.49417021</f>
        <v/>
      </c>
      <c r="E44" s="63" t="n"/>
      <c r="S44" s="63" t="n"/>
      <c r="T44" s="63" t="n"/>
    </row>
    <row r="45">
      <c r="B45" s="24" t="n">
        <v>0.01186428</v>
      </c>
      <c r="C45" s="66" t="n">
        <v>0</v>
      </c>
      <c r="D45" s="67" t="n">
        <v>0</v>
      </c>
      <c r="E45" s="64">
        <f>B45*$J$3</f>
        <v/>
      </c>
      <c r="S45" s="63" t="n"/>
      <c r="T45" s="63" t="n"/>
    </row>
    <row r="46">
      <c r="B46" s="23" t="n">
        <v>-1.42</v>
      </c>
      <c r="C46" s="63">
        <f>D46/B46</f>
        <v/>
      </c>
      <c r="D46" s="63" t="n">
        <v>-183.819</v>
      </c>
      <c r="E46" s="63" t="n"/>
      <c r="S46" s="63" t="n"/>
      <c r="T46" s="63" t="n"/>
    </row>
    <row r="47">
      <c r="C47" s="63" t="n"/>
      <c r="D47" s="63" t="n"/>
      <c r="E47" s="63" t="n"/>
      <c r="S47" s="63" t="n"/>
      <c r="T47" s="63" t="n"/>
    </row>
    <row r="48">
      <c r="B48" s="23">
        <f>(SUM(B5:B47))</f>
        <v/>
      </c>
      <c r="C48" s="63" t="n"/>
      <c r="D48" s="63">
        <f>(SUM(D5:D47))</f>
        <v/>
      </c>
      <c r="E48" s="63" t="n"/>
      <c r="F48" t="inlineStr">
        <is>
          <t>Moy</t>
        </is>
      </c>
      <c r="G48" s="63">
        <f>(D48/B48)</f>
        <v/>
      </c>
      <c r="R48" s="23">
        <f>(SUM(R5:R36))</f>
        <v/>
      </c>
      <c r="S48" s="63" t="n"/>
      <c r="T48" s="63">
        <f>(SUM(T5:T36))</f>
        <v/>
      </c>
      <c r="V48" t="inlineStr">
        <is>
          <t>Moy</t>
        </is>
      </c>
      <c r="W48" s="63">
        <f>(T48/R48)</f>
        <v/>
      </c>
    </row>
    <row r="49">
      <c r="M49" s="23" t="n"/>
      <c r="S49" s="63" t="n"/>
      <c r="T49" s="63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4" t="n">
        <v>0.142242751465132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</row>
    <row r="5">
      <c r="B5" s="18" t="n">
        <v>9.10125837</v>
      </c>
      <c r="C5" s="84">
        <f>(D5/B5)</f>
        <v/>
      </c>
      <c r="D5" s="63" t="n">
        <v>0.5</v>
      </c>
      <c r="E5" s="63" t="n"/>
      <c r="G5" s="6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0.26939611</v>
      </c>
      <c r="C6" s="66" t="n">
        <v>0</v>
      </c>
      <c r="D6" s="67">
        <f>(B6*C6)</f>
        <v/>
      </c>
      <c r="E6" s="63">
        <f>(B6*J3)</f>
        <v/>
      </c>
      <c r="G6" s="63" t="n"/>
      <c r="M6" t="inlineStr">
        <is>
          <t>Objectif</t>
        </is>
      </c>
      <c r="N6" s="18">
        <f>($B$13/5)</f>
        <v/>
      </c>
      <c r="O6" s="84">
        <f>($C$5*[1]Params!K8)</f>
        <v/>
      </c>
      <c r="P6" s="63">
        <f>(O6*N6)</f>
        <v/>
      </c>
      <c r="Q6" s="63">
        <f>N6*$J$3</f>
        <v/>
      </c>
    </row>
    <row r="7">
      <c r="C7" s="63" t="n"/>
      <c r="D7" s="63" t="n"/>
      <c r="E7" s="63" t="n"/>
      <c r="G7" s="63" t="n"/>
      <c r="N7" s="18">
        <f>($B$13/5)</f>
        <v/>
      </c>
      <c r="O7" s="84">
        <f>($C$5*[1]Params!K9)</f>
        <v/>
      </c>
      <c r="P7" s="63">
        <f>(O7*N7)</f>
        <v/>
      </c>
      <c r="Q7" s="63">
        <f>Q6*2</f>
        <v/>
      </c>
    </row>
    <row r="8">
      <c r="C8" s="63" t="n"/>
      <c r="D8" s="63" t="n"/>
      <c r="E8" s="63" t="n"/>
      <c r="G8" s="63" t="n"/>
      <c r="N8" s="18">
        <f>($B$13/5)</f>
        <v/>
      </c>
      <c r="O8" s="84">
        <f>($C$5*[1]Params!K10)</f>
        <v/>
      </c>
      <c r="P8" s="63">
        <f>(O8*N8)</f>
        <v/>
      </c>
      <c r="Q8" s="63">
        <f>Q6*3</f>
        <v/>
      </c>
    </row>
    <row r="9">
      <c r="C9" s="63" t="n"/>
      <c r="D9" s="63" t="n"/>
      <c r="E9" s="63" t="n"/>
      <c r="G9" s="63" t="n"/>
      <c r="N9" s="18">
        <f>($B$13/5)</f>
        <v/>
      </c>
      <c r="O9" s="84">
        <f>($C$5*[1]Params!K11)</f>
        <v/>
      </c>
      <c r="P9" s="63">
        <f>(O9*N9)</f>
        <v/>
      </c>
      <c r="Q9" s="63">
        <f>Q6*4</f>
        <v/>
      </c>
    </row>
    <row r="10">
      <c r="C10" s="63" t="n"/>
      <c r="D10" s="63" t="n"/>
      <c r="E10" s="63" t="n"/>
      <c r="G10" s="63" t="n"/>
      <c r="O10" s="63" t="n"/>
      <c r="P10" s="63" t="n"/>
    </row>
    <row r="11">
      <c r="C11" s="63" t="n"/>
      <c r="D11" s="63" t="n"/>
      <c r="E11" s="63" t="n"/>
      <c r="G11" s="63" t="n"/>
      <c r="O11" s="63" t="n"/>
      <c r="P11" s="63">
        <f>(SUM(P6:P9))</f>
        <v/>
      </c>
    </row>
    <row r="12">
      <c r="C12" s="63" t="n"/>
      <c r="D12" s="63" t="n"/>
      <c r="E12" s="63" t="n"/>
      <c r="F12" t="inlineStr">
        <is>
          <t>Moy</t>
        </is>
      </c>
      <c r="G12" s="63">
        <f>(D13/B13)</f>
        <v/>
      </c>
    </row>
    <row r="13">
      <c r="B13">
        <f>(SUM(B5:B12))</f>
        <v/>
      </c>
      <c r="C13" s="63" t="n"/>
      <c r="D13" s="63">
        <f>(SUM(D5:D12))</f>
        <v/>
      </c>
      <c r="E13" s="63" t="n"/>
      <c r="G13" s="6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2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63" t="n"/>
      <c r="D3" s="63" t="n"/>
      <c r="E3" s="63" t="n"/>
      <c r="G3" s="63" t="n"/>
      <c r="H3" s="63" t="n"/>
      <c r="I3" t="inlineStr">
        <is>
          <t>Actual Price :</t>
        </is>
      </c>
      <c r="J3" s="63" t="n">
        <v>10.90314685515259</v>
      </c>
      <c r="M3" t="inlineStr">
        <is>
          <t>Objectif :</t>
        </is>
      </c>
      <c r="N3" s="1">
        <f>(INDEX(N5:N16,MATCH(MAX(O6:O7),O5:O16,0))/0.85)</f>
        <v/>
      </c>
      <c r="O3" s="92">
        <f>(MAX(O6:O7)*0.75)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63" t="n"/>
      <c r="G4" s="63" t="n"/>
      <c r="H4" s="63" t="n"/>
      <c r="I4" t="inlineStr">
        <is>
          <t>Total :</t>
        </is>
      </c>
      <c r="J4" s="63">
        <f>(B12*J3)</f>
        <v/>
      </c>
      <c r="K4" s="4">
        <f>(J4/D12-1)</f>
        <v/>
      </c>
      <c r="O4" s="63" t="n"/>
      <c r="P4" s="6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2.75575411</v>
      </c>
      <c r="C5" s="63">
        <f>(D5/B5)</f>
        <v/>
      </c>
      <c r="D5" s="63" t="n">
        <v>15.9</v>
      </c>
      <c r="E5" t="inlineStr">
        <is>
          <t>DCA4</t>
        </is>
      </c>
      <c r="G5" s="63" t="n"/>
      <c r="H5" s="63" t="n"/>
      <c r="J5" s="6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$B$5+B9+B10</f>
        <v/>
      </c>
      <c r="S5" s="63">
        <f>(T5/R5)</f>
        <v/>
      </c>
      <c r="T5" s="63">
        <f>D5+5.6807*B9+5.769746*B10</f>
        <v/>
      </c>
    </row>
    <row r="6">
      <c r="B6" s="2" t="n">
        <v>0.00278346</v>
      </c>
      <c r="C6" s="66" t="n">
        <v>0</v>
      </c>
      <c r="D6" s="66">
        <f>(B6*C6)</f>
        <v/>
      </c>
      <c r="E6" s="63">
        <f>(B6*J3)</f>
        <v/>
      </c>
      <c r="G6" s="63" t="n"/>
      <c r="H6" s="63" t="n"/>
      <c r="J6" s="63" t="n"/>
      <c r="M6" t="inlineStr">
        <is>
          <t>Objectif</t>
        </is>
      </c>
      <c r="N6" s="1">
        <f>-B9</f>
        <v/>
      </c>
      <c r="O6" s="84">
        <f>P6/N6</f>
        <v/>
      </c>
      <c r="P6" s="63">
        <f>-D9</f>
        <v/>
      </c>
      <c r="Q6" t="inlineStr">
        <is>
          <t>Done</t>
        </is>
      </c>
      <c r="R6" s="2">
        <f>(B6)</f>
        <v/>
      </c>
      <c r="S6" s="66">
        <f>0</f>
        <v/>
      </c>
      <c r="T6" s="66">
        <f>(D6)</f>
        <v/>
      </c>
    </row>
    <row r="7">
      <c r="B7" s="1">
        <f>-0.409</f>
        <v/>
      </c>
      <c r="C7" s="63">
        <f>D7/B7</f>
        <v/>
      </c>
      <c r="D7" s="63">
        <f>-3.0961407</f>
        <v/>
      </c>
      <c r="E7" s="63" t="n"/>
      <c r="G7" s="63" t="n"/>
      <c r="H7" s="63" t="n"/>
      <c r="J7" s="63" t="n"/>
      <c r="N7" s="1">
        <f>-B10</f>
        <v/>
      </c>
      <c r="O7" s="84">
        <f>P7/N7</f>
        <v/>
      </c>
      <c r="P7" s="63">
        <f>-D10</f>
        <v/>
      </c>
      <c r="Q7" t="inlineStr">
        <is>
          <t>Done</t>
        </is>
      </c>
      <c r="R7" s="1">
        <f>B7+B8</f>
        <v/>
      </c>
      <c r="S7" s="63" t="n">
        <v>0</v>
      </c>
      <c r="T7" s="63">
        <f>D7+D8</f>
        <v/>
      </c>
      <c r="U7" t="inlineStr">
        <is>
          <t>DCA4*</t>
        </is>
      </c>
      <c r="V7" s="64">
        <f>R7*J3-T7</f>
        <v/>
      </c>
    </row>
    <row r="8">
      <c r="B8" s="1" t="n">
        <v>0.482</v>
      </c>
      <c r="C8" s="63">
        <f>(D8/B8)</f>
        <v/>
      </c>
      <c r="D8" s="63" t="n">
        <v>2.70310082</v>
      </c>
      <c r="E8" s="63" t="n"/>
      <c r="G8" s="63" t="n"/>
      <c r="H8" s="63" t="n"/>
      <c r="J8" s="63" t="n"/>
      <c r="N8" s="1">
        <f>$B$12/4</f>
        <v/>
      </c>
      <c r="O8" s="84">
        <f>($C$5*[1]Params!K10)</f>
        <v/>
      </c>
      <c r="P8" s="63">
        <f>(O8*N8)</f>
        <v/>
      </c>
      <c r="R8" s="1">
        <f>B9-B9</f>
        <v/>
      </c>
      <c r="S8" s="63" t="n">
        <v>0</v>
      </c>
      <c r="T8" s="64">
        <f>-P6+N6*5.6808</f>
        <v/>
      </c>
    </row>
    <row r="9">
      <c r="B9" s="1" t="n">
        <v>-0.5379</v>
      </c>
      <c r="C9" s="63">
        <f>D9/B9</f>
        <v/>
      </c>
      <c r="D9" s="63">
        <f>-4.07933077</f>
        <v/>
      </c>
      <c r="E9" s="63" t="n"/>
      <c r="G9" s="63" t="n"/>
      <c r="H9" s="63" t="n"/>
      <c r="J9" s="63" t="n"/>
      <c r="N9" s="1">
        <f>$B$12/4</f>
        <v/>
      </c>
      <c r="O9" s="84">
        <f>($C$5*[1]Params!K11)</f>
        <v/>
      </c>
      <c r="P9" s="63">
        <f>(O9*N9)</f>
        <v/>
      </c>
      <c r="R9" s="1">
        <f>B10-B10</f>
        <v/>
      </c>
      <c r="S9" s="63" t="n">
        <v>0</v>
      </c>
      <c r="T9" s="64">
        <f>-P7+N7*5.763746</f>
        <v/>
      </c>
    </row>
    <row r="10">
      <c r="B10" s="1">
        <f>-0.57</f>
        <v/>
      </c>
      <c r="C10" s="63">
        <f>D10/B10</f>
        <v/>
      </c>
      <c r="D10" s="63">
        <f>-(6.34809*0.999)</f>
        <v/>
      </c>
      <c r="E10" s="63" t="n"/>
      <c r="G10" s="63" t="n"/>
      <c r="H10" s="63" t="n"/>
      <c r="J10" s="63" t="n"/>
      <c r="N10" s="1" t="n"/>
      <c r="O10" s="84" t="n"/>
      <c r="P10" s="63" t="n"/>
      <c r="R10" s="18" t="n"/>
      <c r="S10" s="64" t="n"/>
      <c r="T10" s="64" t="n"/>
    </row>
    <row r="11">
      <c r="C11" s="63" t="n"/>
      <c r="D11" s="63" t="n"/>
      <c r="E11" s="63" t="n"/>
      <c r="F11" t="inlineStr">
        <is>
          <t>Moy</t>
        </is>
      </c>
      <c r="G11" s="63">
        <f>(D12/B12)</f>
        <v/>
      </c>
      <c r="H11" s="63" t="n"/>
      <c r="J11" s="63" t="n"/>
      <c r="O11" s="63" t="n"/>
      <c r="P11" s="63">
        <f>(SUM(P6:P9))</f>
        <v/>
      </c>
    </row>
    <row r="12">
      <c r="B12" s="1">
        <f>(SUM(B5:B11))</f>
        <v/>
      </c>
      <c r="C12" s="63" t="n"/>
      <c r="D12" s="63">
        <f>(SUM(D5:D11))</f>
        <v/>
      </c>
      <c r="E12" s="63" t="n"/>
      <c r="G12" s="63" t="n"/>
      <c r="H12" s="63" t="n"/>
      <c r="J12" s="63" t="n"/>
    </row>
    <row r="13"/>
    <row r="14">
      <c r="O14" s="63" t="n"/>
      <c r="P14" s="63" t="n"/>
    </row>
    <row r="15">
      <c r="O15" s="63" t="n"/>
      <c r="P15" s="63" t="n"/>
    </row>
    <row r="16"/>
    <row r="17"/>
    <row r="18"/>
    <row r="19"/>
    <row r="20">
      <c r="R20">
        <f>(SUM(R5:R19))</f>
        <v/>
      </c>
      <c r="T20" s="63">
        <f>(SUM(T5:T19))</f>
        <v/>
      </c>
    </row>
  </sheetData>
  <conditionalFormatting sqref="C5 C8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4" t="n">
        <v>0.6064029195142571</v>
      </c>
      <c r="M3" t="inlineStr">
        <is>
          <t>Objectif :</t>
        </is>
      </c>
      <c r="N3" s="18">
        <f>(INDEX(N5:N14,MATCH(MAX(O6:O7),O5:O14,0))/0.85)</f>
        <v/>
      </c>
      <c r="O3" s="92">
        <f>(MAX(O6:O7)*0.75)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63">
        <f>(D5/B5)</f>
        <v/>
      </c>
      <c r="D5" s="6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63">
        <f>(T5/R5)</f>
        <v/>
      </c>
      <c r="T5" s="63">
        <f>(SUM(D5:D7))</f>
        <v/>
      </c>
    </row>
    <row r="6">
      <c r="B6" s="19" t="n">
        <v>0.87798541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>
        <f>(-B8)</f>
        <v/>
      </c>
      <c r="O6" s="63">
        <f>P6/N6</f>
        <v/>
      </c>
      <c r="P6" s="63">
        <f>(-D8)</f>
        <v/>
      </c>
      <c r="Q6" t="inlineStr">
        <is>
          <t>Done</t>
        </is>
      </c>
      <c r="R6">
        <f>(B8)</f>
        <v/>
      </c>
      <c r="S6" s="63">
        <f>(C8)</f>
        <v/>
      </c>
      <c r="T6" s="63">
        <f>(D8)</f>
        <v/>
      </c>
    </row>
    <row r="7">
      <c r="B7" s="18" t="n">
        <v>1.46219147</v>
      </c>
      <c r="C7" s="63">
        <f>(D7/B7)</f>
        <v/>
      </c>
      <c r="D7" s="63" t="n">
        <v>0.5</v>
      </c>
      <c r="N7" s="18">
        <f>-B12</f>
        <v/>
      </c>
      <c r="O7" s="63">
        <f>P7/N7</f>
        <v/>
      </c>
      <c r="P7" s="63">
        <f>-D12</f>
        <v/>
      </c>
      <c r="Q7" t="inlineStr">
        <is>
          <t>Done</t>
        </is>
      </c>
      <c r="R7" s="18">
        <f>B9+B10+B11</f>
        <v/>
      </c>
      <c r="S7" s="63" t="n">
        <v>0</v>
      </c>
      <c r="T7" s="64">
        <f>D9+D10+D11</f>
        <v/>
      </c>
      <c r="U7" s="64" t="n"/>
    </row>
    <row r="8">
      <c r="B8" t="n">
        <v>-10.76</v>
      </c>
      <c r="C8" s="63">
        <f>(D8/B8)</f>
        <v/>
      </c>
      <c r="D8" s="63" t="n">
        <v>-5.05269736</v>
      </c>
      <c r="N8" s="18">
        <f>(B$14/3)</f>
        <v/>
      </c>
      <c r="O8" s="63">
        <f>($C$5*[1]Params!K10)</f>
        <v/>
      </c>
      <c r="P8" s="63">
        <f>(O8*N8)</f>
        <v/>
      </c>
      <c r="R8" s="18">
        <f>B12</f>
        <v/>
      </c>
      <c r="S8" s="64">
        <f>C12</f>
        <v/>
      </c>
      <c r="T8" s="64">
        <f>D12</f>
        <v/>
      </c>
    </row>
    <row r="9">
      <c r="B9" t="n">
        <v>-21.72</v>
      </c>
      <c r="C9" s="64">
        <f>D9/B9</f>
        <v/>
      </c>
      <c r="D9" s="63" t="n">
        <v>-16.82352177</v>
      </c>
      <c r="N9" s="18">
        <f>(B$14/3)</f>
        <v/>
      </c>
      <c r="O9" s="63">
        <f>($C$5*[1]Params!K11)</f>
        <v/>
      </c>
      <c r="P9" s="63">
        <f>(O9*N9)</f>
        <v/>
      </c>
    </row>
    <row r="10">
      <c r="B10" s="18" t="n">
        <v>12.15260941</v>
      </c>
      <c r="C10" s="63">
        <f>D10/B10</f>
        <v/>
      </c>
      <c r="D10" s="63" t="n">
        <v>8.029999999999999</v>
      </c>
    </row>
    <row r="11">
      <c r="B11" s="18" t="n">
        <v>12.36011619</v>
      </c>
      <c r="C11" s="63">
        <f>D11/B11</f>
        <v/>
      </c>
      <c r="D11" s="63" t="n">
        <v>5.87</v>
      </c>
      <c r="P11" s="63">
        <f>(SUM(P6:P9))</f>
        <v/>
      </c>
    </row>
    <row r="12">
      <c r="B12" s="18" t="n">
        <v>-15.44</v>
      </c>
      <c r="C12" s="64">
        <f>D12/B12</f>
        <v/>
      </c>
      <c r="D12" s="63" t="n">
        <v>-8.78559841</v>
      </c>
    </row>
    <row r="13">
      <c r="F13" t="inlineStr">
        <is>
          <t>Moy</t>
        </is>
      </c>
      <c r="G13" s="63">
        <f>(D14/B14)</f>
        <v/>
      </c>
    </row>
    <row r="14">
      <c r="B14" s="18">
        <f>(SUM(B5:B13))</f>
        <v/>
      </c>
      <c r="D14" s="63">
        <f>(SUM(D5:D13))</f>
        <v/>
      </c>
    </row>
    <row r="15"/>
    <row r="16"/>
    <row r="17"/>
    <row r="18">
      <c r="R18">
        <f>(SUM(R5:R17))</f>
        <v/>
      </c>
      <c r="T18" s="63">
        <f>(SUM(T5:T17))</f>
        <v/>
      </c>
    </row>
    <row r="19"/>
    <row r="20"/>
    <row r="21"/>
    <row r="22">
      <c r="L22" s="64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72"/>
    <col width="9.140625" customWidth="1" style="25" min="37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4" t="n">
        <v>17.56934253941745</v>
      </c>
      <c r="M3" t="inlineStr">
        <is>
          <t>Objectif :</t>
        </is>
      </c>
      <c r="N3" s="18">
        <f>(INDEX(N5:N14,MATCH(MAX(O6),O5:O14,0))/0.85)</f>
        <v/>
      </c>
      <c r="O3" s="92">
        <f>(MAX(O6)*0.75)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63">
        <f>(D5/B5)</f>
        <v/>
      </c>
      <c r="D5" s="63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63">
        <f>(T5/R5)</f>
        <v/>
      </c>
      <c r="T5" s="63">
        <f>D5+B7*12.8154</f>
        <v/>
      </c>
    </row>
    <row r="6">
      <c r="B6" s="2" t="n">
        <v>0.00480053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 s="1">
        <f>-B7</f>
        <v/>
      </c>
      <c r="O6" s="63">
        <f>P6/N6</f>
        <v/>
      </c>
      <c r="P6" s="63">
        <f>-D7</f>
        <v/>
      </c>
      <c r="Q6" t="inlineStr">
        <is>
          <t>Done</t>
        </is>
      </c>
      <c r="R6" s="2">
        <f>(B6)</f>
        <v/>
      </c>
      <c r="S6" s="66">
        <f>(C6)</f>
        <v/>
      </c>
      <c r="T6" s="66">
        <f>(D6)</f>
        <v/>
      </c>
    </row>
    <row r="7">
      <c r="B7" s="1" t="n">
        <v>-0.29</v>
      </c>
      <c r="C7" s="63">
        <f>D7/B7</f>
        <v/>
      </c>
      <c r="D7" s="63" t="n">
        <v>-4.89894018</v>
      </c>
      <c r="N7" s="1">
        <f>2*(B$14+$N$6)/5-$N$6</f>
        <v/>
      </c>
      <c r="O7" s="63">
        <f>($S$5*[1]Params!K9)</f>
        <v/>
      </c>
      <c r="P7" s="63">
        <f>(O7*N7)</f>
        <v/>
      </c>
      <c r="R7" s="1">
        <f>B7-B7</f>
        <v/>
      </c>
      <c r="S7" s="63" t="n">
        <v>0</v>
      </c>
      <c r="T7" s="64">
        <f>D7+N6*12.8154</f>
        <v/>
      </c>
      <c r="U7" s="64" t="n"/>
    </row>
    <row r="8">
      <c r="C8" s="63" t="n"/>
      <c r="D8" s="63" t="n"/>
      <c r="N8" s="1">
        <f>(B$14-$B$7)/5</f>
        <v/>
      </c>
      <c r="O8" s="63">
        <f>($S$5*[1]Params!K10)</f>
        <v/>
      </c>
      <c r="P8" s="63">
        <f>(O8*N8)</f>
        <v/>
      </c>
      <c r="R8" s="18" t="n"/>
      <c r="S8" s="64" t="n"/>
      <c r="T8" s="64" t="n"/>
    </row>
    <row r="9">
      <c r="C9" s="64" t="n"/>
      <c r="D9" s="63" t="n"/>
      <c r="N9" s="1">
        <f>(B$14-$B$7)/5</f>
        <v/>
      </c>
      <c r="O9" s="63">
        <f>($S$5*[1]Params!K11)</f>
        <v/>
      </c>
      <c r="P9" s="63">
        <f>(O9*N9)</f>
        <v/>
      </c>
    </row>
    <row r="10">
      <c r="B10" s="18" t="n"/>
      <c r="C10" s="63" t="n"/>
      <c r="D10" s="63" t="n"/>
    </row>
    <row r="11">
      <c r="B11" s="18" t="n"/>
      <c r="C11" s="63" t="n"/>
      <c r="D11" s="63" t="n"/>
      <c r="P11" s="63">
        <f>(SUM(P6:P9))</f>
        <v/>
      </c>
    </row>
    <row r="12">
      <c r="B12" s="18" t="n"/>
      <c r="C12" s="64" t="n"/>
      <c r="D12" s="63" t="n"/>
    </row>
    <row r="13">
      <c r="F13" t="inlineStr">
        <is>
          <t>Moy</t>
        </is>
      </c>
      <c r="G13" s="63">
        <f>(D14/B14)</f>
        <v/>
      </c>
    </row>
    <row r="14">
      <c r="B14" s="18">
        <f>(SUM(B5:B13))</f>
        <v/>
      </c>
      <c r="D14" s="63">
        <f>(SUM(D5:D13))</f>
        <v/>
      </c>
    </row>
    <row r="15"/>
    <row r="16"/>
    <row r="17"/>
    <row r="18">
      <c r="R18">
        <f>(SUM(R5:R17))</f>
        <v/>
      </c>
      <c r="T18" s="63">
        <f>(SUM(T5:T17))</f>
        <v/>
      </c>
    </row>
    <row r="19"/>
    <row r="20"/>
    <row r="21"/>
    <row r="22">
      <c r="L22" s="64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72"/>
    <col width="9.140625" customWidth="1" style="25" min="373" max="16384"/>
  </cols>
  <sheetData>
    <row r="1"/>
    <row r="2"/>
    <row r="3">
      <c r="I3" t="inlineStr">
        <is>
          <t>Actual Price :</t>
        </is>
      </c>
      <c r="J3" s="84" t="n">
        <v>3.465775556480354</v>
      </c>
      <c r="N3" s="18" t="n"/>
      <c r="O3" s="92" t="n"/>
      <c r="P3" s="6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63">
        <f>(D5/B5)</f>
        <v/>
      </c>
      <c r="D5" s="63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63">
        <f>(T5/R5)</f>
        <v/>
      </c>
      <c r="T5" s="63">
        <f>D5</f>
        <v/>
      </c>
    </row>
    <row r="6">
      <c r="B6" s="2" t="n">
        <v>0.00100902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 s="18">
        <f>(B$14/5)</f>
        <v/>
      </c>
      <c r="O6" s="63">
        <f>($C$5*[1]Params!K8)</f>
        <v/>
      </c>
      <c r="P6" s="63">
        <f>(O6*N6)</f>
        <v/>
      </c>
      <c r="R6" s="18">
        <f>(B6)</f>
        <v/>
      </c>
      <c r="S6" s="63">
        <f>(C6)</f>
        <v/>
      </c>
      <c r="T6" s="63">
        <f>(D6)</f>
        <v/>
      </c>
    </row>
    <row r="7">
      <c r="B7" s="18" t="n"/>
      <c r="C7" s="63" t="n"/>
      <c r="D7" s="63" t="n"/>
      <c r="N7" s="18">
        <f>(B$14/5)</f>
        <v/>
      </c>
      <c r="O7" s="63">
        <f>($C$5*[1]Params!K9)</f>
        <v/>
      </c>
      <c r="P7" s="63">
        <f>(O7*N7)</f>
        <v/>
      </c>
      <c r="R7" s="18" t="n"/>
      <c r="S7" s="63" t="n"/>
      <c r="T7" s="64" t="n"/>
      <c r="U7" s="64" t="n"/>
    </row>
    <row r="8">
      <c r="C8" s="63" t="n"/>
      <c r="D8" s="63" t="n"/>
      <c r="N8" s="18">
        <f>(B$14/5)</f>
        <v/>
      </c>
      <c r="O8" s="63">
        <f>($C$5*[1]Params!K10)</f>
        <v/>
      </c>
      <c r="P8" s="63">
        <f>(O8*N8)</f>
        <v/>
      </c>
      <c r="R8" s="18" t="n"/>
      <c r="S8" s="64" t="n"/>
      <c r="T8" s="64" t="n"/>
    </row>
    <row r="9">
      <c r="C9" s="64" t="n"/>
      <c r="D9" s="63" t="n"/>
      <c r="N9" s="18">
        <f>(B$14/5)</f>
        <v/>
      </c>
      <c r="O9" s="63">
        <f>($C$5*[1]Params!K11)</f>
        <v/>
      </c>
      <c r="P9" s="63">
        <f>(O9*N9)</f>
        <v/>
      </c>
    </row>
    <row r="10">
      <c r="B10" s="18" t="n"/>
      <c r="C10" s="63" t="n"/>
      <c r="D10" s="63" t="n"/>
    </row>
    <row r="11">
      <c r="B11" s="18" t="n"/>
      <c r="C11" s="63" t="n"/>
      <c r="D11" s="63" t="n"/>
      <c r="P11" s="63">
        <f>(SUM(P6:P9))</f>
        <v/>
      </c>
    </row>
    <row r="12">
      <c r="B12" s="18" t="n"/>
      <c r="C12" s="64" t="n"/>
      <c r="D12" s="63" t="n"/>
    </row>
    <row r="13">
      <c r="F13" t="inlineStr">
        <is>
          <t>Moy</t>
        </is>
      </c>
      <c r="G13" s="63">
        <f>(D14/B14)</f>
        <v/>
      </c>
    </row>
    <row r="14">
      <c r="B14" s="18">
        <f>(SUM(B5:B13))</f>
        <v/>
      </c>
      <c r="D14" s="63">
        <f>(SUM(D5:D13))</f>
        <v/>
      </c>
    </row>
    <row r="15"/>
    <row r="16"/>
    <row r="17"/>
    <row r="18">
      <c r="R18">
        <f>(SUM(R5:R17))</f>
        <v/>
      </c>
      <c r="T18" s="63">
        <f>(SUM(T5:T17))</f>
        <v/>
      </c>
    </row>
    <row r="19"/>
    <row r="20"/>
    <row r="21"/>
    <row r="22">
      <c r="L22" s="64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63" t="n">
        <v>0.5292126049109773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(B9*J3)</f>
        <v/>
      </c>
      <c r="K4" s="4">
        <f>(J4/D9-1)</f>
        <v/>
      </c>
    </row>
    <row r="5">
      <c r="B5" s="18" t="n">
        <v>1.547</v>
      </c>
      <c r="C5" s="63" t="n">
        <v>10</v>
      </c>
      <c r="D5" s="6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63" t="n">
        <v>3.941</v>
      </c>
      <c r="D6" s="63">
        <f>(B6*C6)</f>
        <v/>
      </c>
      <c r="M6" t="inlineStr">
        <is>
          <t>Objectif :</t>
        </is>
      </c>
      <c r="N6">
        <f>(INDEX(B5:B8,MATCH(O6/2,C5:C8,0)))</f>
        <v/>
      </c>
      <c r="O6" s="63">
        <f>(MIN(C5:C8)*2)</f>
        <v/>
      </c>
      <c r="P6" s="63">
        <f>(O6*N6/2)</f>
        <v/>
      </c>
    </row>
    <row r="7">
      <c r="B7" s="18" t="n">
        <v>2</v>
      </c>
      <c r="C7" s="63" t="n">
        <v>1.7</v>
      </c>
      <c r="D7" s="63">
        <f>(B7*C7)</f>
        <v/>
      </c>
    </row>
    <row r="8">
      <c r="F8" t="inlineStr">
        <is>
          <t>Moy</t>
        </is>
      </c>
      <c r="G8" s="63">
        <f>(SUM(D5:D8)/SUM(B5:B8))</f>
        <v/>
      </c>
    </row>
    <row r="9">
      <c r="B9" s="18">
        <f>(SUM(B5:B8))</f>
        <v/>
      </c>
      <c r="D9" s="63">
        <f>(SUM(D5:D8))</f>
        <v/>
      </c>
    </row>
    <row r="10">
      <c r="D10" s="6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63">
        <f>($C$5*[1]Params!K8)</f>
        <v/>
      </c>
      <c r="P11" s="63">
        <f>(O11*N11)</f>
        <v/>
      </c>
    </row>
    <row r="12">
      <c r="N12">
        <f>($B$5/5)</f>
        <v/>
      </c>
      <c r="O12" s="63">
        <f>($C$5*[1]Params!K9)</f>
        <v/>
      </c>
      <c r="P12" s="63">
        <f>(O12*N12)</f>
        <v/>
      </c>
    </row>
    <row r="13">
      <c r="N13">
        <f>($B$5/5)</f>
        <v/>
      </c>
      <c r="O13" s="63">
        <f>($C$5*[1]Params!K10)</f>
        <v/>
      </c>
      <c r="P13" s="63">
        <f>(O13*N13)</f>
        <v/>
      </c>
    </row>
    <row r="14">
      <c r="N14">
        <f>($B$5/5)</f>
        <v/>
      </c>
      <c r="O14" s="63">
        <f>($C$5*[1]Params!K11)</f>
        <v/>
      </c>
      <c r="P14" s="63">
        <f>(O14*N14)</f>
        <v/>
      </c>
    </row>
    <row r="17">
      <c r="P17" s="6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63">
        <f>($C$6*[1]Params!K8)</f>
        <v/>
      </c>
      <c r="P20" s="63">
        <f>(O20*N20)</f>
        <v/>
      </c>
    </row>
    <row r="21">
      <c r="N21">
        <f>($B$6/5)</f>
        <v/>
      </c>
      <c r="O21" s="63">
        <f>($C$6*[1]Params!K9)</f>
        <v/>
      </c>
      <c r="P21" s="63">
        <f>(O21*N21)</f>
        <v/>
      </c>
    </row>
    <row r="22">
      <c r="N22">
        <f>($B$6/5)</f>
        <v/>
      </c>
      <c r="O22" s="63">
        <f>($C$6*[1]Params!K10)</f>
        <v/>
      </c>
      <c r="P22" s="63">
        <f>(O22*N22)</f>
        <v/>
      </c>
    </row>
    <row r="23">
      <c r="N23">
        <f>($B$6/5)</f>
        <v/>
      </c>
      <c r="O23" s="63">
        <f>($C$6*[1]Params!K11)</f>
        <v/>
      </c>
      <c r="P23" s="63">
        <f>(O23*N23)</f>
        <v/>
      </c>
    </row>
    <row r="26">
      <c r="P26" s="6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63">
        <f>($C$7*[1]Params!K8)</f>
        <v/>
      </c>
      <c r="P29" s="63">
        <f>(O29*N29)</f>
        <v/>
      </c>
    </row>
    <row r="30">
      <c r="N30">
        <f>($B$7/5)</f>
        <v/>
      </c>
      <c r="O30" s="63">
        <f>($C$7*[1]Params!K9)</f>
        <v/>
      </c>
      <c r="P30" s="63">
        <f>(O30*N30)</f>
        <v/>
      </c>
    </row>
    <row r="31">
      <c r="N31">
        <f>($B$7/5)</f>
        <v/>
      </c>
      <c r="O31" s="63">
        <f>($C$7*[1]Params!K10)</f>
        <v/>
      </c>
      <c r="P31" s="63">
        <f>(O31*N31)</f>
        <v/>
      </c>
    </row>
    <row r="32">
      <c r="N32">
        <f>($B$7/5)</f>
        <v/>
      </c>
      <c r="O32" s="63">
        <f>($C$7*[1]Params!K11)</f>
        <v/>
      </c>
      <c r="P32" s="63">
        <f>(O32*N32)</f>
        <v/>
      </c>
    </row>
    <row r="35">
      <c r="P35" s="63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4"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72" t="n">
        <v>0.00709134242434479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6" t="n">
        <v>135</v>
      </c>
      <c r="D5" s="63" t="n">
        <v>3.5</v>
      </c>
      <c r="E5" s="6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6" t="n">
        <v>18</v>
      </c>
      <c r="D6" s="63" t="n">
        <v>3.5</v>
      </c>
      <c r="E6" s="6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63" t="n">
        <v>18</v>
      </c>
      <c r="D7" s="63" t="n">
        <v>3.5</v>
      </c>
      <c r="E7" s="6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63" t="n">
        <v>55</v>
      </c>
      <c r="D8" s="63" t="n">
        <v>3.5</v>
      </c>
      <c r="E8" s="6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63" t="n">
        <v>-134.99</v>
      </c>
      <c r="D9" s="63" t="n">
        <v>0.01</v>
      </c>
      <c r="E9" s="6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63" t="n">
        <v>125</v>
      </c>
      <c r="D10" s="63">
        <f>0.002*151</f>
        <v/>
      </c>
      <c r="E10" s="6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63" t="n">
        <v>-144.96</v>
      </c>
      <c r="D11" s="63" t="n">
        <v>0.01</v>
      </c>
      <c r="E11" s="6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63" t="n">
        <v>130</v>
      </c>
      <c r="D12" s="63">
        <f>0.002*151</f>
        <v/>
      </c>
      <c r="E12" s="64">
        <f>C12+D12</f>
        <v/>
      </c>
      <c r="F12" s="9" t="inlineStr">
        <is>
          <t>Buy</t>
        </is>
      </c>
      <c r="I12" t="inlineStr">
        <is>
          <t>Total Investiment</t>
        </is>
      </c>
      <c r="J12" s="63">
        <f>(SUM(D5:E8))</f>
        <v/>
      </c>
    </row>
    <row r="13">
      <c r="B13" s="8" t="inlineStr">
        <is>
          <t>Power Plant</t>
        </is>
      </c>
      <c r="C13" s="63" t="n">
        <v>-144.95</v>
      </c>
      <c r="D13" s="63" t="n">
        <v>0.01</v>
      </c>
      <c r="E13" s="64">
        <f>C13+D13</f>
        <v/>
      </c>
      <c r="F13" s="9" t="inlineStr">
        <is>
          <t>Sell</t>
        </is>
      </c>
      <c r="I13" t="inlineStr">
        <is>
          <t>Total Stack gain</t>
        </is>
      </c>
      <c r="J13" s="63">
        <f>(SUM(K35:K43)-C77*J3+D77)</f>
        <v/>
      </c>
    </row>
    <row r="14">
      <c r="B14" s="8" t="inlineStr">
        <is>
          <t>Power Plant</t>
        </is>
      </c>
      <c r="C14" s="63" t="n">
        <v>130</v>
      </c>
      <c r="D14" s="63">
        <f>0.01</f>
        <v/>
      </c>
      <c r="E14" s="64">
        <f>C14+D14</f>
        <v/>
      </c>
      <c r="F14" s="9" t="inlineStr">
        <is>
          <t>Buy</t>
        </is>
      </c>
      <c r="I14" t="inlineStr">
        <is>
          <t>Trade gain</t>
        </is>
      </c>
      <c r="J14" s="63">
        <f>(-SUM(E9:E31))</f>
        <v/>
      </c>
      <c r="K14" s="64">
        <f>(J14-M38-M39-M40-M42-L43)</f>
        <v/>
      </c>
    </row>
    <row r="15">
      <c r="B15" s="8" t="inlineStr">
        <is>
          <t>Power Plant</t>
        </is>
      </c>
      <c r="C15" s="63" t="n">
        <v>-144.98</v>
      </c>
      <c r="D15" s="63" t="n">
        <v>0.01</v>
      </c>
      <c r="E15" s="64">
        <f>C15+D15</f>
        <v/>
      </c>
      <c r="F15" s="9" t="inlineStr">
        <is>
          <t>Sell</t>
        </is>
      </c>
      <c r="I15" t="inlineStr">
        <is>
          <t>Total</t>
        </is>
      </c>
      <c r="J15" s="63">
        <f>(J13-J12+J14)</f>
        <v/>
      </c>
    </row>
    <row r="16">
      <c r="B16" s="8" t="inlineStr">
        <is>
          <t>Power Plant</t>
        </is>
      </c>
      <c r="C16" s="63" t="n">
        <v>130</v>
      </c>
      <c r="D16" s="63">
        <f>0.01</f>
        <v/>
      </c>
      <c r="E16" s="64">
        <f>C16+D16</f>
        <v/>
      </c>
      <c r="F16" s="9" t="inlineStr">
        <is>
          <t>Buy</t>
        </is>
      </c>
      <c r="I16" t="inlineStr">
        <is>
          <t>Total with NFT</t>
        </is>
      </c>
      <c r="J16" s="63">
        <f>(J15+M47)</f>
        <v/>
      </c>
    </row>
    <row r="17">
      <c r="B17" s="8" t="inlineStr">
        <is>
          <t>Opal Jet</t>
        </is>
      </c>
      <c r="C17" s="63" t="n">
        <v>19.73</v>
      </c>
      <c r="D17" s="63" t="n">
        <v>0.28</v>
      </c>
      <c r="E17" s="6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63" t="n">
        <v>38</v>
      </c>
      <c r="D18" s="63" t="n">
        <v>0.01</v>
      </c>
      <c r="E18" s="64">
        <f>C18+D18</f>
        <v/>
      </c>
      <c r="F18" s="9" t="inlineStr">
        <is>
          <t>Buy x2</t>
        </is>
      </c>
      <c r="R18" s="64" t="n"/>
    </row>
    <row r="19">
      <c r="B19" s="8" t="inlineStr">
        <is>
          <t>Opal Jet</t>
        </is>
      </c>
      <c r="C19" s="63" t="n">
        <v>11.25</v>
      </c>
      <c r="D19" s="63" t="n">
        <v>0.01</v>
      </c>
      <c r="E19" s="6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6" t="n">
        <v>8.02</v>
      </c>
      <c r="D20" s="63" t="n">
        <v>0.01</v>
      </c>
      <c r="E20" s="6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63" t="n">
        <v>6.01</v>
      </c>
      <c r="D21" s="63" t="n">
        <v>0</v>
      </c>
      <c r="E21" s="6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63" t="n">
        <v>-30.99</v>
      </c>
      <c r="D22" s="63" t="n">
        <v>0</v>
      </c>
      <c r="E22" s="6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63" t="n">
        <v>27.01</v>
      </c>
      <c r="D23" s="63" t="n">
        <v>0</v>
      </c>
      <c r="E23" s="6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63" t="n">
        <v>-47.22</v>
      </c>
      <c r="D24" s="63" t="n">
        <v>0</v>
      </c>
      <c r="E24" s="6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63" t="n">
        <v>35.02</v>
      </c>
      <c r="D25" s="63" t="n">
        <v>0</v>
      </c>
      <c r="E25" s="6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63" t="n">
        <v>-59.99</v>
      </c>
      <c r="D26" s="63" t="n">
        <v>0</v>
      </c>
      <c r="E26" s="6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6" t="n">
        <v>30.05</v>
      </c>
      <c r="D27" s="63" t="n">
        <v>0</v>
      </c>
      <c r="E27" s="6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6" t="n">
        <v>36.01</v>
      </c>
      <c r="D28" s="63" t="n">
        <v>0</v>
      </c>
      <c r="E28" s="6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63" t="n">
        <v>-8.050000000000001</v>
      </c>
      <c r="D29" s="63" t="n">
        <v>0</v>
      </c>
      <c r="E29" s="6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63" t="n">
        <v>4</v>
      </c>
      <c r="D30" s="63" t="n">
        <v>0.01</v>
      </c>
      <c r="E30" s="6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73" t="n">
        <v>-8.444000000000001</v>
      </c>
      <c r="D31" s="73">
        <f>-C31*6%</f>
        <v/>
      </c>
      <c r="E31" s="73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74">
        <f>E35*$N$5</f>
        <v/>
      </c>
      <c r="G35" s="63" t="n">
        <v>3.5</v>
      </c>
      <c r="H35" s="75">
        <f>G51</f>
        <v/>
      </c>
      <c r="I35" s="64">
        <f>((F35-H35*D35)*$J$3-G35)</f>
        <v/>
      </c>
      <c r="J35" t="n">
        <v>1</v>
      </c>
      <c r="K35" s="76">
        <f>I35*J35</f>
        <v/>
      </c>
      <c r="L35" s="77" t="n">
        <v>40</v>
      </c>
      <c r="M35" s="77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74">
        <f>E36*$N$5</f>
        <v/>
      </c>
      <c r="G36" s="63" t="n">
        <v>3.5</v>
      </c>
      <c r="H36" s="75">
        <f>G52</f>
        <v/>
      </c>
      <c r="I36" s="64">
        <f>((F36-H36*D36)*$J$3-G36)</f>
        <v/>
      </c>
      <c r="J36" t="n">
        <v>1</v>
      </c>
      <c r="K36" s="76">
        <f>I36*J36</f>
        <v/>
      </c>
      <c r="L36" s="77" t="n">
        <v>16.5</v>
      </c>
      <c r="M36" s="77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74">
        <f>E37*$N$5</f>
        <v/>
      </c>
      <c r="G37" s="63" t="n">
        <v>3.5</v>
      </c>
      <c r="H37" s="75">
        <f>G53</f>
        <v/>
      </c>
      <c r="I37" s="64">
        <f>((F37-H37*D37)*$J$3-G37)</f>
        <v/>
      </c>
      <c r="J37" t="n">
        <v>1</v>
      </c>
      <c r="K37" s="76">
        <f>I37*J37</f>
        <v/>
      </c>
      <c r="L37" s="77" t="n">
        <v>9.5</v>
      </c>
      <c r="M37" s="77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74">
        <f>E38*$N$5</f>
        <v/>
      </c>
      <c r="G38" s="63" t="n">
        <v>0</v>
      </c>
      <c r="H38" s="75">
        <f>G53</f>
        <v/>
      </c>
      <c r="I38" s="64">
        <f>((F38-H38*D38)*$J$3-G38)</f>
        <v/>
      </c>
      <c r="J38" t="n">
        <v>3</v>
      </c>
      <c r="K38" s="76">
        <f>I38*J38</f>
        <v/>
      </c>
      <c r="L38" s="77">
        <f>L37</f>
        <v/>
      </c>
      <c r="M38" s="77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74">
        <f>E39*$N$5</f>
        <v/>
      </c>
      <c r="G39" s="63" t="n">
        <v>0</v>
      </c>
      <c r="H39" s="75">
        <f>H38</f>
        <v/>
      </c>
      <c r="I39" s="64">
        <f>((F39-H39*D39)*$J$3-G39)</f>
        <v/>
      </c>
      <c r="J39" t="n">
        <v>1</v>
      </c>
      <c r="K39" s="76">
        <f>I39*J39</f>
        <v/>
      </c>
      <c r="L39" s="77">
        <f>L38</f>
        <v/>
      </c>
      <c r="M39" s="77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74">
        <f>E40*$N$5</f>
        <v/>
      </c>
      <c r="G40" s="63" t="n">
        <v>0</v>
      </c>
      <c r="H40" s="75">
        <f>H39</f>
        <v/>
      </c>
      <c r="I40" s="64">
        <f>((F40-H40*D40)*$J$3-G40)</f>
        <v/>
      </c>
      <c r="J40" t="n">
        <v>1</v>
      </c>
      <c r="K40" s="76">
        <f>I40*J40</f>
        <v/>
      </c>
      <c r="L40" s="77">
        <f>L39</f>
        <v/>
      </c>
      <c r="M40" s="77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8" t="n">
        <v>0</v>
      </c>
      <c r="H41" s="79">
        <f>H36</f>
        <v/>
      </c>
      <c r="I41" s="78">
        <f>((F41-H41*D41)*$J$3-G41)</f>
        <v/>
      </c>
      <c r="J41" s="15" t="n">
        <v>1</v>
      </c>
      <c r="K41" s="80">
        <f>I41*J41</f>
        <v/>
      </c>
      <c r="L41" s="81" t="n">
        <v>0</v>
      </c>
      <c r="M41" s="81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8" t="n">
        <v>0</v>
      </c>
      <c r="H42" s="79">
        <f>(H38)</f>
        <v/>
      </c>
      <c r="I42" s="78">
        <f>((F42-H42*D42)*$J$3-G42)</f>
        <v/>
      </c>
      <c r="J42" s="15" t="n">
        <v>1</v>
      </c>
      <c r="K42" s="80">
        <f>(I42*J42)</f>
        <v/>
      </c>
      <c r="L42" s="81" t="n">
        <v>0</v>
      </c>
      <c r="M42" s="81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6" t="n"/>
      <c r="L43" s="77" t="n">
        <v>13</v>
      </c>
      <c r="M43" s="77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7" t="n">
        <v>0.4</v>
      </c>
      <c r="M44" s="77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7" t="n">
        <v>0.35</v>
      </c>
      <c r="M45" s="77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7" t="n">
        <v>1.5</v>
      </c>
      <c r="M46" s="77">
        <f>(L46*J46)</f>
        <v/>
      </c>
      <c r="V46" s="64" t="n"/>
    </row>
    <row r="47">
      <c r="L47" t="inlineStr">
        <is>
          <t>Total</t>
        </is>
      </c>
      <c r="M47" s="77">
        <f>(SUM(M34:M46))</f>
        <v/>
      </c>
      <c r="O47" s="77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82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82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82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83" t="n">
        <v>1.14</v>
      </c>
      <c r="E60" s="70">
        <f>D60/C60</f>
        <v/>
      </c>
    </row>
    <row r="61">
      <c r="B61" s="8" t="n"/>
      <c r="C61" s="18" t="n">
        <v>130.53974622</v>
      </c>
      <c r="D61" s="83" t="n">
        <v>1.179312</v>
      </c>
      <c r="E61" s="70">
        <f>D61/C61</f>
        <v/>
      </c>
    </row>
    <row r="62">
      <c r="B62" s="8" t="n"/>
      <c r="C62" s="18" t="n">
        <v>167.40487412</v>
      </c>
      <c r="D62" s="83" t="n">
        <v>1.05481</v>
      </c>
      <c r="E62" s="70">
        <f>D62/C62</f>
        <v/>
      </c>
    </row>
    <row r="63">
      <c r="B63" s="8" t="n"/>
      <c r="C63" s="18" t="n">
        <v>167.96828</v>
      </c>
      <c r="D63" s="83">
        <f>1.0512-0.00017</f>
        <v/>
      </c>
      <c r="E63" s="70">
        <f>D63/C63</f>
        <v/>
      </c>
    </row>
    <row r="64">
      <c r="B64" s="8" t="n"/>
      <c r="C64" s="18" t="n">
        <v>123.66</v>
      </c>
      <c r="D64" s="83" t="n">
        <v>1.049</v>
      </c>
      <c r="E64" s="70">
        <f>D64/C64</f>
        <v/>
      </c>
    </row>
    <row r="65">
      <c r="B65" s="8" t="n"/>
      <c r="C65" s="18" t="n">
        <v>149.5</v>
      </c>
      <c r="D65" s="83" t="n">
        <v>1.17</v>
      </c>
      <c r="E65" s="70">
        <f>D65/C65</f>
        <v/>
      </c>
    </row>
    <row r="66">
      <c r="B66" s="8" t="n"/>
      <c r="C66" s="18" t="n">
        <v>170.62</v>
      </c>
      <c r="D66" s="83" t="n">
        <v>1.158</v>
      </c>
      <c r="E66" s="70">
        <f>D66/C66</f>
        <v/>
      </c>
    </row>
    <row r="67">
      <c r="B67" s="8" t="n"/>
      <c r="C67" s="18" t="n">
        <v>192.66</v>
      </c>
      <c r="D67" s="83" t="n">
        <v>1.09</v>
      </c>
      <c r="E67" s="70">
        <f>D67/C67</f>
        <v/>
      </c>
    </row>
    <row r="68">
      <c r="B68" s="8" t="n"/>
      <c r="C68" s="18" t="n">
        <v>257.34</v>
      </c>
      <c r="D68" s="83" t="n">
        <v>1.13</v>
      </c>
      <c r="E68" s="70">
        <f>(D68/C68)</f>
        <v/>
      </c>
    </row>
    <row r="69">
      <c r="B69" s="8" t="n"/>
      <c r="C69" s="18" t="n">
        <v>312.13</v>
      </c>
      <c r="D69" s="83" t="n">
        <v>0.82</v>
      </c>
      <c r="E69" s="70">
        <f>(D69/C69)</f>
        <v/>
      </c>
    </row>
    <row r="70">
      <c r="B70" s="8" t="n"/>
      <c r="C70" s="18" t="n">
        <v>352.461</v>
      </c>
      <c r="D70" s="83" t="n">
        <v>1.2074</v>
      </c>
      <c r="E70" s="70">
        <f>(D70/C70)</f>
        <v/>
      </c>
    </row>
    <row r="71">
      <c r="B71" s="8" t="n"/>
      <c r="C71" s="18" t="n">
        <v>263.04</v>
      </c>
      <c r="D71" s="83" t="n">
        <v>1.0588</v>
      </c>
      <c r="E71" s="70">
        <f>(D71/C71)</f>
        <v/>
      </c>
    </row>
    <row r="72">
      <c r="B72" s="8" t="n"/>
      <c r="C72" s="18" t="n">
        <v>359.00496</v>
      </c>
      <c r="D72" s="83" t="n">
        <v>1.1195</v>
      </c>
      <c r="E72" s="70">
        <f>(D72/C72)</f>
        <v/>
      </c>
    </row>
    <row r="73">
      <c r="B73" s="8" t="n"/>
      <c r="C73" s="18" t="n">
        <v>327.91</v>
      </c>
      <c r="D73" s="83" t="n">
        <v>1.0785</v>
      </c>
      <c r="E73" s="70">
        <f>(D73/C73)</f>
        <v/>
      </c>
    </row>
    <row r="74">
      <c r="B74" s="8" t="n"/>
      <c r="C74" s="18" t="n">
        <v>925.39</v>
      </c>
      <c r="D74" s="83" t="n">
        <v>3.1734</v>
      </c>
      <c r="E74" s="70">
        <f>(D74/C74)</f>
        <v/>
      </c>
    </row>
    <row r="75">
      <c r="B75" s="8" t="n"/>
      <c r="C75" s="18" t="n">
        <v>109.44</v>
      </c>
      <c r="D75" s="83" t="n"/>
      <c r="E75" s="70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6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63">
        <f>(-137/3)</f>
        <v/>
      </c>
      <c r="D4" s="6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79"/>
    <col width="9.140625" customWidth="1" style="25" min="38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12.33124880267018</v>
      </c>
      <c r="M3" t="inlineStr">
        <is>
          <t>Objectif :</t>
        </is>
      </c>
      <c r="N3" s="23">
        <f>(INDEX(N5:N21,MATCH(MAX(O6:O8),O5:O21,0))/0.85)</f>
        <v/>
      </c>
      <c r="O3" s="64">
        <f>(MAX(O6:O8)*0.75)</f>
        <v/>
      </c>
      <c r="P3" s="8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63">
        <f>4</f>
        <v/>
      </c>
      <c r="D5" s="63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63">
        <f>(T5/R5)</f>
        <v/>
      </c>
      <c r="T5" s="63">
        <f>D5</f>
        <v/>
      </c>
    </row>
    <row r="6">
      <c r="B6" s="2" t="n">
        <v>2.752e-05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 s="1">
        <f>$B$5/5</f>
        <v/>
      </c>
      <c r="O6" s="63">
        <f>($C$5*[1]Params!K8)</f>
        <v/>
      </c>
      <c r="P6" s="63">
        <f>O6*N6</f>
        <v/>
      </c>
      <c r="Q6" t="inlineStr">
        <is>
          <t>Done</t>
        </is>
      </c>
      <c r="R6" s="2">
        <f>(B6)</f>
        <v/>
      </c>
      <c r="S6" s="66" t="n">
        <v>0</v>
      </c>
      <c r="T6" s="66">
        <f>(D6)</f>
        <v/>
      </c>
      <c r="U6" s="63">
        <f>(R6*J3)</f>
        <v/>
      </c>
    </row>
    <row r="7">
      <c r="B7" s="1" t="n">
        <v>-0.28055386</v>
      </c>
      <c r="C7" s="63">
        <f>D7/B7</f>
        <v/>
      </c>
      <c r="D7" s="63" t="n">
        <v>-4</v>
      </c>
      <c r="N7" s="1">
        <f>$B$5/5</f>
        <v/>
      </c>
      <c r="O7" s="63">
        <f>($C$5*[1]Params!K9)</f>
        <v/>
      </c>
      <c r="P7" s="63">
        <f>O7*N7</f>
        <v/>
      </c>
      <c r="Q7" t="inlineStr">
        <is>
          <t>Done</t>
        </is>
      </c>
      <c r="R7" s="74" t="n"/>
      <c r="S7" s="63" t="n"/>
      <c r="T7" s="63" t="n"/>
    </row>
    <row r="8">
      <c r="B8" s="1" t="n"/>
      <c r="C8" s="63" t="n"/>
      <c r="D8" s="63" t="n"/>
      <c r="N8" s="1">
        <f>$B$5/5</f>
        <v/>
      </c>
      <c r="O8" s="63">
        <f>($C$5*[1]Params!K10)</f>
        <v/>
      </c>
      <c r="P8" s="63">
        <f>(O8*N8)</f>
        <v/>
      </c>
      <c r="Q8" t="inlineStr">
        <is>
          <t>Done</t>
        </is>
      </c>
      <c r="R8" s="1" t="n"/>
      <c r="S8" s="63" t="n"/>
      <c r="T8" s="63" t="n"/>
    </row>
    <row r="9">
      <c r="B9" s="1" t="n"/>
      <c r="C9" s="63" t="n"/>
      <c r="D9" s="63" t="n"/>
      <c r="N9" s="1">
        <f>($B$13-B7)/5</f>
        <v/>
      </c>
      <c r="O9" s="63">
        <f>($C$5*[1]Params!K11)</f>
        <v/>
      </c>
      <c r="P9" s="63">
        <f>(O9*N9)</f>
        <v/>
      </c>
      <c r="R9" s="1" t="n"/>
      <c r="S9" s="64" t="n"/>
      <c r="T9" s="64" t="n"/>
    </row>
    <row r="10">
      <c r="B10" s="1" t="n"/>
      <c r="C10" s="64" t="n"/>
      <c r="D10" s="63" t="n"/>
      <c r="N10" s="1" t="n"/>
      <c r="P10" s="63" t="n"/>
    </row>
    <row r="11">
      <c r="B11" s="1" t="n"/>
      <c r="C11" s="64" t="n"/>
      <c r="D11" s="63" t="n"/>
      <c r="P11" s="63">
        <f>(SUM(P6:P9))</f>
        <v/>
      </c>
    </row>
    <row r="12">
      <c r="F12" t="inlineStr">
        <is>
          <t>Moy</t>
        </is>
      </c>
      <c r="G12" s="84">
        <f>(D13/B13)</f>
        <v/>
      </c>
    </row>
    <row r="13">
      <c r="B13" s="1">
        <f>(SUM(B5:B12))</f>
        <v/>
      </c>
      <c r="D13" s="63">
        <f>(SUM(D5:D12))</f>
        <v/>
      </c>
      <c r="R13" s="1">
        <f>(SUM(R5:R12))</f>
        <v/>
      </c>
      <c r="T13" s="63">
        <f>(SUM(T5:T12))</f>
        <v/>
      </c>
    </row>
    <row r="14"/>
    <row r="15"/>
    <row r="16"/>
    <row r="17"/>
    <row r="18">
      <c r="N18" s="1">
        <f>N6+N7+N8+B7</f>
        <v/>
      </c>
      <c r="O18" s="64" t="n"/>
    </row>
    <row r="19"/>
    <row r="20"/>
    <row r="21">
      <c r="E21" s="85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0.6949611959446909</v>
      </c>
      <c r="M3" t="inlineStr">
        <is>
          <t>Objectif :</t>
        </is>
      </c>
      <c r="N3" s="23">
        <f>(INDEX(N5:N21,MATCH(MAX(O6:O7),O5:O21,0))/0.85)</f>
        <v/>
      </c>
      <c r="O3" s="64">
        <f>(MAX(O6:O7)*0.75)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63">
        <f>(D5/B5)</f>
        <v/>
      </c>
      <c r="D5" s="6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63">
        <f>(T5/R5)</f>
        <v/>
      </c>
      <c r="T5" s="63">
        <f>D5</f>
        <v/>
      </c>
    </row>
    <row r="6">
      <c r="B6" s="2" t="n">
        <v>0.79332135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 s="1">
        <f>-B10</f>
        <v/>
      </c>
      <c r="O6" s="63">
        <f>P6/N6</f>
        <v/>
      </c>
      <c r="P6" s="63">
        <f>-D10</f>
        <v/>
      </c>
      <c r="Q6" t="inlineStr">
        <is>
          <t>Done</t>
        </is>
      </c>
      <c r="R6" s="2">
        <f>(B6)</f>
        <v/>
      </c>
      <c r="S6" s="66" t="n">
        <v>0</v>
      </c>
      <c r="T6" s="66">
        <f>(D6)</f>
        <v/>
      </c>
      <c r="U6" s="63">
        <f>(R6*J3)</f>
        <v/>
      </c>
    </row>
    <row r="7">
      <c r="B7" s="1" t="n">
        <v>125.37719126</v>
      </c>
      <c r="C7" s="63">
        <f>(D7/B7)</f>
        <v/>
      </c>
      <c r="D7" s="63" t="n">
        <v>45.9</v>
      </c>
      <c r="E7" t="inlineStr">
        <is>
          <t>DCA2</t>
        </is>
      </c>
      <c r="N7" s="1">
        <f>-B11</f>
        <v/>
      </c>
      <c r="O7" s="63">
        <f>($S$7*[1]Params!K9)</f>
        <v/>
      </c>
      <c r="P7" s="63">
        <f>-D11</f>
        <v/>
      </c>
      <c r="Q7" t="inlineStr">
        <is>
          <t>Done</t>
        </is>
      </c>
      <c r="R7" s="74">
        <f>B7+B10</f>
        <v/>
      </c>
      <c r="S7" s="63">
        <f>(T7/R7)</f>
        <v/>
      </c>
      <c r="T7" s="63">
        <f>D7+B10*0.3388</f>
        <v/>
      </c>
      <c r="U7" t="inlineStr">
        <is>
          <t>DCA2</t>
        </is>
      </c>
    </row>
    <row r="8">
      <c r="B8" s="1" t="n">
        <v>-3.1157</v>
      </c>
      <c r="C8" s="63">
        <f>(D8/B8)</f>
        <v/>
      </c>
      <c r="D8" s="63" t="n">
        <v>-1.00996341</v>
      </c>
      <c r="N8" s="1">
        <f>3*($B$13-B11-B10)/5-N7-N6</f>
        <v/>
      </c>
      <c r="O8" s="63">
        <f>($C$7*[1]Params!K10)</f>
        <v/>
      </c>
      <c r="P8" s="63">
        <f>(O8*N8)</f>
        <v/>
      </c>
      <c r="R8" s="1">
        <f>(B8+B9)</f>
        <v/>
      </c>
      <c r="S8" s="63" t="n">
        <v>0</v>
      </c>
      <c r="T8" s="63">
        <f>D8+D9</f>
        <v/>
      </c>
    </row>
    <row r="9">
      <c r="B9" s="1" t="n">
        <v>3.76338608</v>
      </c>
      <c r="C9" s="63">
        <f>(D9/B9)</f>
        <v/>
      </c>
      <c r="D9" s="63" t="n">
        <v>1</v>
      </c>
      <c r="N9" s="1">
        <f>($B$13/5)</f>
        <v/>
      </c>
      <c r="O9" s="63">
        <f>($C$7*[1]Params!K11)</f>
        <v/>
      </c>
      <c r="P9" s="63">
        <f>(O9*N9)</f>
        <v/>
      </c>
      <c r="R9" s="1">
        <f>B10-B10</f>
        <v/>
      </c>
      <c r="S9" s="64" t="n">
        <v>0</v>
      </c>
      <c r="T9" s="64">
        <f>D10-B10*0.3388</f>
        <v/>
      </c>
    </row>
    <row r="10">
      <c r="B10" s="1" t="n">
        <v>-22.57</v>
      </c>
      <c r="C10" s="64">
        <f>D10/B10</f>
        <v/>
      </c>
      <c r="D10" s="63" t="n">
        <v>-10.08242897</v>
      </c>
      <c r="N10" s="1" t="n"/>
      <c r="P10" s="63" t="n"/>
    </row>
    <row r="11">
      <c r="B11" s="1" t="n">
        <v>-22.5</v>
      </c>
      <c r="C11" s="64">
        <f>D11/B11</f>
        <v/>
      </c>
      <c r="D11" s="63" t="n">
        <v>-12.306</v>
      </c>
      <c r="P11" s="63">
        <f>(SUM(P6:P9))</f>
        <v/>
      </c>
    </row>
    <row r="12">
      <c r="F12" t="inlineStr">
        <is>
          <t>Moy</t>
        </is>
      </c>
      <c r="G12" s="84">
        <f>(D13/B13)</f>
        <v/>
      </c>
    </row>
    <row r="13">
      <c r="B13" s="1">
        <f>(SUM(B5:B12))</f>
        <v/>
      </c>
      <c r="D13" s="63">
        <f>(SUM(D5:D12))</f>
        <v/>
      </c>
      <c r="R13" s="1">
        <f>(SUM(R5:R12))</f>
        <v/>
      </c>
      <c r="T13" s="6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P20" sqref="P20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4" t="n">
        <v>0.2234593819908972</v>
      </c>
      <c r="M3" t="inlineStr">
        <is>
          <t>Objectif :</t>
        </is>
      </c>
      <c r="N3" s="23">
        <f>(INDEX(N5:N23,MATCH(MAX(0),O5:O23,0))/0.85)</f>
        <v/>
      </c>
      <c r="O3" s="64">
        <f>(MAX(0)*0.75)</f>
        <v/>
      </c>
      <c r="P3" s="8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4" t="n">
        <v>60.14</v>
      </c>
      <c r="C5" s="63">
        <f>(D5/B5)</f>
        <v/>
      </c>
      <c r="D5" s="6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4">
        <f>(B5)</f>
        <v/>
      </c>
      <c r="S5" s="63">
        <f>(T5/R5)</f>
        <v/>
      </c>
      <c r="T5" s="63">
        <f>D5</f>
        <v/>
      </c>
    </row>
    <row r="6">
      <c r="B6" s="2" t="n">
        <v>0.58769182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 s="74">
        <f>($B$14)/5</f>
        <v/>
      </c>
      <c r="O6" s="63">
        <f>($C$5*[1]Params!K8)</f>
        <v/>
      </c>
      <c r="P6" s="63">
        <f>-D11</f>
        <v/>
      </c>
      <c r="R6" s="86">
        <f>(B6)</f>
        <v/>
      </c>
      <c r="S6" s="66" t="n">
        <v>0</v>
      </c>
      <c r="T6" s="66">
        <f>(D6)</f>
        <v/>
      </c>
      <c r="U6" s="63">
        <f>(E6)</f>
        <v/>
      </c>
    </row>
    <row r="7">
      <c r="B7" s="74" t="n">
        <v>-12.028</v>
      </c>
      <c r="C7" s="63">
        <f>(D7/B7)</f>
        <v/>
      </c>
      <c r="D7" s="63" t="n">
        <v>-2.549936</v>
      </c>
      <c r="N7" s="74">
        <f>$B$14/5</f>
        <v/>
      </c>
      <c r="O7" s="63">
        <f>($C$5*[1]Params!K9)</f>
        <v/>
      </c>
      <c r="P7" s="63">
        <f>(O7*N7)</f>
        <v/>
      </c>
      <c r="R7" s="74">
        <f>SUM(B7:B12)</f>
        <v/>
      </c>
      <c r="S7" s="63" t="n">
        <v>0</v>
      </c>
      <c r="T7" s="63">
        <f>SUM(D7:D12)</f>
        <v/>
      </c>
      <c r="U7" s="64" t="n"/>
    </row>
    <row r="8">
      <c r="B8" s="74" t="n">
        <v>-12</v>
      </c>
      <c r="C8" s="63">
        <f>(D8/B8)</f>
        <v/>
      </c>
      <c r="D8" s="63" t="n">
        <v>-3.06</v>
      </c>
      <c r="N8" s="74">
        <f>($B$14)/5</f>
        <v/>
      </c>
      <c r="O8" s="63">
        <f>($C$5*[1]Params!K10)</f>
        <v/>
      </c>
      <c r="P8" s="63">
        <f>(O8*N8)</f>
        <v/>
      </c>
      <c r="R8" s="74" t="n"/>
      <c r="S8" s="63" t="n"/>
      <c r="T8" s="63" t="n"/>
    </row>
    <row r="9">
      <c r="B9" s="74" t="n">
        <v>13.39371616</v>
      </c>
      <c r="C9" s="63">
        <f>(D9/B9)</f>
        <v/>
      </c>
      <c r="D9" s="63" t="n">
        <v>2.8758</v>
      </c>
      <c r="N9" s="74">
        <f>($B$14)/5</f>
        <v/>
      </c>
      <c r="O9" s="63">
        <f>($C$5*[1]Params!K11)</f>
        <v/>
      </c>
      <c r="P9" s="63">
        <f>(O9*N9)</f>
        <v/>
      </c>
    </row>
    <row r="10">
      <c r="B10" s="74" t="n">
        <v>13.23709339</v>
      </c>
      <c r="C10" s="63">
        <f>(D10/B10)</f>
        <v/>
      </c>
      <c r="D10" s="63" t="n">
        <v>2.41</v>
      </c>
    </row>
    <row r="11">
      <c r="B11" s="74" t="n">
        <v>-12.66</v>
      </c>
      <c r="C11" s="63">
        <f>(D11/B11)</f>
        <v/>
      </c>
      <c r="D11" s="63" t="n">
        <v>-2.81724106</v>
      </c>
    </row>
    <row r="12">
      <c r="B12" s="74" t="n">
        <v>15.05019045</v>
      </c>
      <c r="C12" s="63">
        <f>(D12/B12)</f>
        <v/>
      </c>
      <c r="D12" s="63" t="n">
        <v>2.48</v>
      </c>
      <c r="P12" s="63">
        <f>(SUM(P6:P9))</f>
        <v/>
      </c>
    </row>
    <row r="13">
      <c r="F13" t="inlineStr">
        <is>
          <t>Moy</t>
        </is>
      </c>
      <c r="G13" s="63">
        <f>(D14/B14)</f>
        <v/>
      </c>
    </row>
    <row r="14">
      <c r="B14" s="74">
        <f>(SUM(B5:B13))</f>
        <v/>
      </c>
      <c r="D14" s="63">
        <f>(SUM(D5:D13))</f>
        <v/>
      </c>
    </row>
    <row r="15"/>
    <row r="16"/>
    <row r="17">
      <c r="N17" s="74" t="n"/>
      <c r="R17" s="74">
        <f>(SUM(R5:R16))</f>
        <v/>
      </c>
      <c r="T17" s="63">
        <f>(SUM(T5:T16))</f>
        <v/>
      </c>
    </row>
    <row r="18"/>
    <row r="19"/>
    <row r="20">
      <c r="K20" s="64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2024-02-29T15:57:30Z</dcterms:modified>
  <cp:lastModifiedBy>Tiko</cp:lastModifiedBy>
</cp:coreProperties>
</file>