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78" activeTab="1"/>
  </bookViews>
  <sheets>
    <sheet name="ETH" sheetId="1" r:id="rId1"/>
    <sheet name="BTC" sheetId="2" r:id="rId2"/>
    <sheet name="Cake" sheetId="3" r:id="rId3"/>
    <sheet name="POLIS" sheetId="4" r:id="rId4"/>
    <sheet name="ATLAS" sheetId="5" r:id="rId5"/>
    <sheet name="BIGTIME" sheetId="6" r:id="rId6"/>
    <sheet name="ACE" sheetId="7" r:id="rId7"/>
    <sheet name="ADA" sheetId="8" r:id="rId8"/>
    <sheet name="ALGO" sheetId="9" r:id="rId9"/>
    <sheet name="AMP" sheetId="10" r:id="rId10"/>
    <sheet name="APE" sheetId="11" r:id="rId11"/>
    <sheet name="ATOM" sheetId="12" r:id="rId12"/>
    <sheet name="AVAX" sheetId="13" r:id="rId13"/>
    <sheet name="BNB" sheetId="14" r:id="rId14"/>
    <sheet name="DOGE" sheetId="15" r:id="rId15"/>
    <sheet name="DOT" sheetId="16" r:id="rId16"/>
    <sheet name="EGLD" sheetId="17" r:id="rId17"/>
    <sheet name="GRT" sheetId="18" r:id="rId18"/>
    <sheet name="ICP" sheetId="19" r:id="rId19"/>
    <sheet name="KAVA" sheetId="20" r:id="rId20"/>
    <sheet name="LDO" sheetId="21" r:id="rId21"/>
    <sheet name="LINK" sheetId="22" r:id="rId22"/>
    <sheet name="LTC" sheetId="23" r:id="rId23"/>
    <sheet name="LUNA" sheetId="24" r:id="rId24"/>
    <sheet name="LUNC" sheetId="25" r:id="rId25"/>
    <sheet name="MATIC" sheetId="26" r:id="rId26"/>
    <sheet name="MEME" sheetId="27" r:id="rId27"/>
    <sheet name="MINA" sheetId="28" r:id="rId28"/>
    <sheet name="NEAR" sheetId="29" r:id="rId29"/>
    <sheet name="SEI" sheetId="30" r:id="rId30"/>
    <sheet name="SHIB" sheetId="31" r:id="rId31"/>
    <sheet name="SHPING" sheetId="32" r:id="rId32"/>
    <sheet name="SOL" sheetId="33" r:id="rId33"/>
    <sheet name="TRX" sheetId="34" r:id="rId34"/>
    <sheet name="UNI" sheetId="35" r:id="rId35"/>
    <sheet name="XRP" sheetId="36" r:id="rId36"/>
    <sheet name="TIA" sheetId="37" r:id="rId37"/>
    <sheet name="DYDX" sheetId="38" r:id="rId38"/>
  </sheets>
  <externalReferences>
    <externalReference r:id="rId39"/>
  </externalReferences>
  <calcPr calcId="124519"/>
</workbook>
</file>

<file path=xl/calcChain.xml><?xml version="1.0" encoding="utf-8"?>
<calcChain xmlns="http://schemas.openxmlformats.org/spreadsheetml/2006/main">
  <c r="B14" i="38"/>
  <c r="N9" s="1"/>
  <c r="N8"/>
  <c r="T6"/>
  <c r="S6"/>
  <c r="R6"/>
  <c r="O6"/>
  <c r="P6" s="1"/>
  <c r="N6"/>
  <c r="E6"/>
  <c r="D6"/>
  <c r="D14" s="1"/>
  <c r="T5"/>
  <c r="T18" s="1"/>
  <c r="R5"/>
  <c r="R18" s="1"/>
  <c r="C5"/>
  <c r="O9" s="1"/>
  <c r="P9" s="1"/>
  <c r="J4"/>
  <c r="D14" i="37"/>
  <c r="B14"/>
  <c r="G13"/>
  <c r="N9"/>
  <c r="N8"/>
  <c r="T7"/>
  <c r="R7"/>
  <c r="N7"/>
  <c r="C7"/>
  <c r="T6"/>
  <c r="S6"/>
  <c r="R6"/>
  <c r="P6"/>
  <c r="O6"/>
  <c r="O3" s="1"/>
  <c r="N6"/>
  <c r="E6"/>
  <c r="D6"/>
  <c r="T5"/>
  <c r="T18" s="1"/>
  <c r="R5"/>
  <c r="R18" s="1"/>
  <c r="C5"/>
  <c r="K4"/>
  <c r="J4"/>
  <c r="N3"/>
  <c r="B14" i="36"/>
  <c r="N8" s="1"/>
  <c r="C12"/>
  <c r="S8" s="1"/>
  <c r="C11"/>
  <c r="C10"/>
  <c r="N9"/>
  <c r="C9"/>
  <c r="T8"/>
  <c r="R8"/>
  <c r="C8"/>
  <c r="T7"/>
  <c r="R7"/>
  <c r="R18" s="1"/>
  <c r="P7"/>
  <c r="O7"/>
  <c r="N7"/>
  <c r="C7"/>
  <c r="T6"/>
  <c r="S6"/>
  <c r="R6"/>
  <c r="P6"/>
  <c r="N6"/>
  <c r="E6"/>
  <c r="D6"/>
  <c r="D14" s="1"/>
  <c r="G13" s="1"/>
  <c r="R5"/>
  <c r="C5"/>
  <c r="O8" s="1"/>
  <c r="J4"/>
  <c r="K4" s="1"/>
  <c r="D10" i="35"/>
  <c r="C10" s="1"/>
  <c r="B10"/>
  <c r="N7" s="1"/>
  <c r="D9"/>
  <c r="C9" s="1"/>
  <c r="R8"/>
  <c r="C8"/>
  <c r="D7"/>
  <c r="T7" s="1"/>
  <c r="B7"/>
  <c r="R7" s="1"/>
  <c r="S6"/>
  <c r="R6"/>
  <c r="P6"/>
  <c r="N6"/>
  <c r="E6"/>
  <c r="D6"/>
  <c r="D12" s="1"/>
  <c r="T5"/>
  <c r="S5"/>
  <c r="R5"/>
  <c r="R20" s="1"/>
  <c r="C5"/>
  <c r="O9" s="1"/>
  <c r="D13" i="34"/>
  <c r="B13"/>
  <c r="G12"/>
  <c r="N9"/>
  <c r="N8"/>
  <c r="N7"/>
  <c r="Q6"/>
  <c r="Q9" s="1"/>
  <c r="N6"/>
  <c r="E6"/>
  <c r="D6"/>
  <c r="C5"/>
  <c r="O9" s="1"/>
  <c r="P9" s="1"/>
  <c r="J4"/>
  <c r="K4" s="1"/>
  <c r="E45" i="33"/>
  <c r="D44"/>
  <c r="C44" s="1"/>
  <c r="C43"/>
  <c r="C42"/>
  <c r="C41"/>
  <c r="D40"/>
  <c r="C40"/>
  <c r="C39"/>
  <c r="O25" s="1"/>
  <c r="P25" s="1"/>
  <c r="T23" s="1"/>
  <c r="D38"/>
  <c r="C38"/>
  <c r="D37"/>
  <c r="C37"/>
  <c r="O8" s="1"/>
  <c r="C36"/>
  <c r="C35"/>
  <c r="C34"/>
  <c r="C33"/>
  <c r="B33"/>
  <c r="D32"/>
  <c r="C32" s="1"/>
  <c r="C31"/>
  <c r="C30"/>
  <c r="C29"/>
  <c r="D28"/>
  <c r="C28" s="1"/>
  <c r="C27"/>
  <c r="B27"/>
  <c r="C26"/>
  <c r="N25"/>
  <c r="R23" s="1"/>
  <c r="B25"/>
  <c r="C25" s="1"/>
  <c r="T24"/>
  <c r="S24"/>
  <c r="R24"/>
  <c r="N24"/>
  <c r="C24"/>
  <c r="N23"/>
  <c r="C23"/>
  <c r="C22"/>
  <c r="T21"/>
  <c r="R21"/>
  <c r="C21"/>
  <c r="O23" s="1"/>
  <c r="T20"/>
  <c r="S20" s="1"/>
  <c r="R20"/>
  <c r="C20"/>
  <c r="T19"/>
  <c r="R19"/>
  <c r="C19"/>
  <c r="T18"/>
  <c r="S18"/>
  <c r="R18"/>
  <c r="C18"/>
  <c r="T17"/>
  <c r="V18" s="1"/>
  <c r="R17"/>
  <c r="E17"/>
  <c r="R16"/>
  <c r="O16"/>
  <c r="C16"/>
  <c r="T15"/>
  <c r="R15"/>
  <c r="N26" s="1"/>
  <c r="O15"/>
  <c r="P15" s="1"/>
  <c r="N15"/>
  <c r="C15"/>
  <c r="O9" s="1"/>
  <c r="P9" s="1"/>
  <c r="T14"/>
  <c r="R14"/>
  <c r="O14"/>
  <c r="P14" s="1"/>
  <c r="N14"/>
  <c r="E14"/>
  <c r="B14"/>
  <c r="T13"/>
  <c r="R13"/>
  <c r="E13"/>
  <c r="B13"/>
  <c r="T12"/>
  <c r="S12" s="1"/>
  <c r="R12"/>
  <c r="E12"/>
  <c r="T11"/>
  <c r="S11" s="1"/>
  <c r="R11"/>
  <c r="C11"/>
  <c r="T10"/>
  <c r="S10"/>
  <c r="R10"/>
  <c r="C10"/>
  <c r="N9"/>
  <c r="B9"/>
  <c r="C9" s="1"/>
  <c r="T8"/>
  <c r="S8"/>
  <c r="R8"/>
  <c r="P8"/>
  <c r="N8"/>
  <c r="B8"/>
  <c r="C8" s="1"/>
  <c r="R7"/>
  <c r="T7" s="1"/>
  <c r="P7"/>
  <c r="O7"/>
  <c r="N7"/>
  <c r="C7"/>
  <c r="T6"/>
  <c r="R6"/>
  <c r="O6"/>
  <c r="P6" s="1"/>
  <c r="P11" s="1"/>
  <c r="N6"/>
  <c r="C6"/>
  <c r="B6"/>
  <c r="S5"/>
  <c r="B5"/>
  <c r="B48" s="1"/>
  <c r="J4" s="1"/>
  <c r="B10" i="32"/>
  <c r="N9" s="1"/>
  <c r="N7"/>
  <c r="N6"/>
  <c r="D6"/>
  <c r="D10" s="1"/>
  <c r="G9" s="1"/>
  <c r="C5"/>
  <c r="O9" s="1"/>
  <c r="P9" s="1"/>
  <c r="J4"/>
  <c r="K4" s="1"/>
  <c r="B13" i="31"/>
  <c r="N9"/>
  <c r="O8"/>
  <c r="P8" s="1"/>
  <c r="N8"/>
  <c r="N7"/>
  <c r="C7"/>
  <c r="N6"/>
  <c r="E6"/>
  <c r="D6"/>
  <c r="D13" s="1"/>
  <c r="C5"/>
  <c r="O9" s="1"/>
  <c r="P9" s="1"/>
  <c r="J4"/>
  <c r="D14" i="30"/>
  <c r="B14"/>
  <c r="G13"/>
  <c r="N9"/>
  <c r="P8"/>
  <c r="O8"/>
  <c r="O3" s="1"/>
  <c r="N8"/>
  <c r="C8"/>
  <c r="N7"/>
  <c r="P7" s="1"/>
  <c r="D7"/>
  <c r="C7"/>
  <c r="T6"/>
  <c r="R6"/>
  <c r="P6"/>
  <c r="N6"/>
  <c r="E6"/>
  <c r="U6" s="1"/>
  <c r="D6"/>
  <c r="T5"/>
  <c r="T17" s="1"/>
  <c r="R5"/>
  <c r="R17" s="1"/>
  <c r="C5"/>
  <c r="O9" s="1"/>
  <c r="P9" s="1"/>
  <c r="K4"/>
  <c r="J4"/>
  <c r="N3"/>
  <c r="C25" i="29"/>
  <c r="B24"/>
  <c r="B27" s="1"/>
  <c r="J4" s="1"/>
  <c r="D23"/>
  <c r="C23"/>
  <c r="C22"/>
  <c r="C21"/>
  <c r="D20"/>
  <c r="C20"/>
  <c r="C19"/>
  <c r="E18"/>
  <c r="C18"/>
  <c r="C17"/>
  <c r="C16"/>
  <c r="P15"/>
  <c r="O15"/>
  <c r="N15"/>
  <c r="C15"/>
  <c r="P14"/>
  <c r="O14"/>
  <c r="N14"/>
  <c r="C14"/>
  <c r="T13"/>
  <c r="R13"/>
  <c r="C13"/>
  <c r="T12"/>
  <c r="S12" s="1"/>
  <c r="R12"/>
  <c r="C12"/>
  <c r="T11"/>
  <c r="R11"/>
  <c r="C11"/>
  <c r="T10"/>
  <c r="S10" s="1"/>
  <c r="R10"/>
  <c r="C10"/>
  <c r="R9"/>
  <c r="N9" s="1"/>
  <c r="D9"/>
  <c r="D27" s="1"/>
  <c r="G26" s="1"/>
  <c r="T8"/>
  <c r="R8"/>
  <c r="V8" s="1"/>
  <c r="C8"/>
  <c r="T7"/>
  <c r="R7"/>
  <c r="N7"/>
  <c r="E7"/>
  <c r="U6"/>
  <c r="T6"/>
  <c r="S6" s="1"/>
  <c r="R6"/>
  <c r="R30" s="1"/>
  <c r="P6"/>
  <c r="O6"/>
  <c r="N6"/>
  <c r="C6"/>
  <c r="T5"/>
  <c r="S5"/>
  <c r="R5"/>
  <c r="C5"/>
  <c r="O9" s="1"/>
  <c r="P9" s="1"/>
  <c r="B13" i="28"/>
  <c r="C11"/>
  <c r="R10"/>
  <c r="D10"/>
  <c r="T10" s="1"/>
  <c r="U10" s="1"/>
  <c r="T9"/>
  <c r="S9" s="1"/>
  <c r="R9"/>
  <c r="C9"/>
  <c r="R8"/>
  <c r="D8"/>
  <c r="T8" s="1"/>
  <c r="S8" s="1"/>
  <c r="C8"/>
  <c r="R7"/>
  <c r="P7"/>
  <c r="O7"/>
  <c r="N7"/>
  <c r="N9" s="1"/>
  <c r="E7"/>
  <c r="D7"/>
  <c r="T7" s="1"/>
  <c r="T30" s="1"/>
  <c r="U6"/>
  <c r="T6"/>
  <c r="P6"/>
  <c r="N6"/>
  <c r="N8" s="1"/>
  <c r="E6"/>
  <c r="D6"/>
  <c r="D13" s="1"/>
  <c r="G11" s="1"/>
  <c r="T5"/>
  <c r="S5"/>
  <c r="R5"/>
  <c r="R30" s="1"/>
  <c r="C5"/>
  <c r="O9" s="1"/>
  <c r="P9" s="1"/>
  <c r="J4"/>
  <c r="B10" i="27"/>
  <c r="N9" s="1"/>
  <c r="N7"/>
  <c r="E6"/>
  <c r="D6"/>
  <c r="D10" s="1"/>
  <c r="G9" s="1"/>
  <c r="C5"/>
  <c r="O9" s="1"/>
  <c r="P9" s="1"/>
  <c r="J4"/>
  <c r="K4" s="1"/>
  <c r="N17" i="26"/>
  <c r="N16"/>
  <c r="B16"/>
  <c r="D16" s="1"/>
  <c r="T9" s="1"/>
  <c r="D15"/>
  <c r="B15"/>
  <c r="B18" s="1"/>
  <c r="J4" s="1"/>
  <c r="N14"/>
  <c r="C14"/>
  <c r="C13"/>
  <c r="C12"/>
  <c r="C11"/>
  <c r="T10"/>
  <c r="R10"/>
  <c r="N15" s="1"/>
  <c r="C10"/>
  <c r="R9"/>
  <c r="N9" s="1"/>
  <c r="C9"/>
  <c r="T8"/>
  <c r="S8"/>
  <c r="R8"/>
  <c r="N8"/>
  <c r="C8"/>
  <c r="T7"/>
  <c r="S7" s="1"/>
  <c r="R7"/>
  <c r="C7"/>
  <c r="O9" s="1"/>
  <c r="P9" s="1"/>
  <c r="R6"/>
  <c r="U6" s="1"/>
  <c r="N6"/>
  <c r="E6"/>
  <c r="D6"/>
  <c r="D18" s="1"/>
  <c r="G17" s="1"/>
  <c r="T5"/>
  <c r="S5"/>
  <c r="R5"/>
  <c r="R17" s="1"/>
  <c r="C5"/>
  <c r="O15" s="1"/>
  <c r="P15" s="1"/>
  <c r="E38" i="25"/>
  <c r="D38"/>
  <c r="C38"/>
  <c r="C37"/>
  <c r="C36"/>
  <c r="B35"/>
  <c r="C35" s="1"/>
  <c r="C34"/>
  <c r="C33"/>
  <c r="B32"/>
  <c r="C32" s="1"/>
  <c r="C31"/>
  <c r="C30"/>
  <c r="C29"/>
  <c r="C28"/>
  <c r="C27"/>
  <c r="T26"/>
  <c r="R26"/>
  <c r="D26"/>
  <c r="B26"/>
  <c r="T25"/>
  <c r="D25"/>
  <c r="T21" s="1"/>
  <c r="S21" s="1"/>
  <c r="B25"/>
  <c r="T24"/>
  <c r="C24"/>
  <c r="T23"/>
  <c r="R23"/>
  <c r="C23"/>
  <c r="T22"/>
  <c r="R22"/>
  <c r="C22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T13"/>
  <c r="S13"/>
  <c r="R13"/>
  <c r="C13"/>
  <c r="R12"/>
  <c r="S12" s="1"/>
  <c r="C12"/>
  <c r="S11"/>
  <c r="R11"/>
  <c r="C11"/>
  <c r="R10"/>
  <c r="S10" s="1"/>
  <c r="C10"/>
  <c r="C9"/>
  <c r="B9"/>
  <c r="B40" s="1"/>
  <c r="S8"/>
  <c r="R8"/>
  <c r="C8"/>
  <c r="R7"/>
  <c r="T7" s="1"/>
  <c r="O7"/>
  <c r="N7" s="1"/>
  <c r="P7" s="1"/>
  <c r="D7"/>
  <c r="R6"/>
  <c r="T6" s="1"/>
  <c r="O6"/>
  <c r="P6" s="1"/>
  <c r="N6"/>
  <c r="D6"/>
  <c r="R5"/>
  <c r="D5"/>
  <c r="D40" s="1"/>
  <c r="G40" s="1"/>
  <c r="C21" i="24"/>
  <c r="D20"/>
  <c r="D19"/>
  <c r="D18"/>
  <c r="D17"/>
  <c r="D16"/>
  <c r="D15"/>
  <c r="D14"/>
  <c r="D13"/>
  <c r="D12"/>
  <c r="D11"/>
  <c r="D10"/>
  <c r="D9"/>
  <c r="D8"/>
  <c r="B7"/>
  <c r="B23" s="1"/>
  <c r="J4" s="1"/>
  <c r="O6"/>
  <c r="N6"/>
  <c r="P6" s="1"/>
  <c r="E6"/>
  <c r="D6"/>
  <c r="D5"/>
  <c r="D23" s="1"/>
  <c r="D15" i="23"/>
  <c r="B15"/>
  <c r="G14"/>
  <c r="C13"/>
  <c r="C12"/>
  <c r="C11"/>
  <c r="C10"/>
  <c r="C9"/>
  <c r="T8"/>
  <c r="R8"/>
  <c r="U8" s="1"/>
  <c r="O8"/>
  <c r="C8"/>
  <c r="T7"/>
  <c r="S7"/>
  <c r="R7"/>
  <c r="C7"/>
  <c r="O9" s="1"/>
  <c r="P9" s="1"/>
  <c r="T6"/>
  <c r="S6" s="1"/>
  <c r="R6"/>
  <c r="O6"/>
  <c r="E6"/>
  <c r="D6"/>
  <c r="T5"/>
  <c r="T21" s="1"/>
  <c r="R5"/>
  <c r="N9" s="1"/>
  <c r="C5"/>
  <c r="K4"/>
  <c r="J4"/>
  <c r="B11" i="22"/>
  <c r="J4" s="1"/>
  <c r="T9"/>
  <c r="R9"/>
  <c r="N9"/>
  <c r="D9"/>
  <c r="C9"/>
  <c r="T8"/>
  <c r="R8"/>
  <c r="P8"/>
  <c r="O8"/>
  <c r="N8"/>
  <c r="C8"/>
  <c r="R7"/>
  <c r="P7"/>
  <c r="O7"/>
  <c r="N7"/>
  <c r="D7"/>
  <c r="T7" s="1"/>
  <c r="T6"/>
  <c r="S6" s="1"/>
  <c r="R6"/>
  <c r="N6"/>
  <c r="E6"/>
  <c r="D6"/>
  <c r="D11" s="1"/>
  <c r="G10" s="1"/>
  <c r="T5"/>
  <c r="T22" s="1"/>
  <c r="R5"/>
  <c r="R22" s="1"/>
  <c r="C5"/>
  <c r="B11" i="21"/>
  <c r="O9"/>
  <c r="C9"/>
  <c r="T8"/>
  <c r="R8"/>
  <c r="O8"/>
  <c r="C8"/>
  <c r="R7"/>
  <c r="O7"/>
  <c r="D7"/>
  <c r="T6"/>
  <c r="S6" s="1"/>
  <c r="R6"/>
  <c r="N6"/>
  <c r="N9" s="1"/>
  <c r="E6"/>
  <c r="D6"/>
  <c r="T5"/>
  <c r="R5"/>
  <c r="R23" s="1"/>
  <c r="C5"/>
  <c r="J4"/>
  <c r="D10" i="20"/>
  <c r="G9" s="1"/>
  <c r="B10"/>
  <c r="N9"/>
  <c r="N8"/>
  <c r="O7"/>
  <c r="P7" s="1"/>
  <c r="N7"/>
  <c r="N6"/>
  <c r="C5"/>
  <c r="O9" s="1"/>
  <c r="P9" s="1"/>
  <c r="K4"/>
  <c r="J4"/>
  <c r="B13" i="19"/>
  <c r="D11"/>
  <c r="R10"/>
  <c r="C10"/>
  <c r="T9"/>
  <c r="R9"/>
  <c r="N9"/>
  <c r="C9"/>
  <c r="T8"/>
  <c r="R8"/>
  <c r="N8"/>
  <c r="C8"/>
  <c r="T7"/>
  <c r="R7"/>
  <c r="P7"/>
  <c r="O7"/>
  <c r="N7"/>
  <c r="C7"/>
  <c r="R6"/>
  <c r="P6"/>
  <c r="N6"/>
  <c r="E6"/>
  <c r="D6"/>
  <c r="T6" s="1"/>
  <c r="T5"/>
  <c r="S5"/>
  <c r="O9" s="1"/>
  <c r="P9" s="1"/>
  <c r="R5"/>
  <c r="R25" s="1"/>
  <c r="C5"/>
  <c r="J4"/>
  <c r="B14" i="18"/>
  <c r="C12"/>
  <c r="D11"/>
  <c r="D14" s="1"/>
  <c r="G13" s="1"/>
  <c r="C10"/>
  <c r="T9"/>
  <c r="S9"/>
  <c r="R9"/>
  <c r="C9"/>
  <c r="T8"/>
  <c r="S8" s="1"/>
  <c r="R8"/>
  <c r="C8"/>
  <c r="T7"/>
  <c r="R7"/>
  <c r="N8" s="1"/>
  <c r="P7"/>
  <c r="N7"/>
  <c r="C7"/>
  <c r="S7" s="1"/>
  <c r="T6"/>
  <c r="R6"/>
  <c r="N6"/>
  <c r="C6"/>
  <c r="S6" s="1"/>
  <c r="R5"/>
  <c r="C5"/>
  <c r="O9" s="1"/>
  <c r="J4"/>
  <c r="K4" s="1"/>
  <c r="O9" i="17"/>
  <c r="B9"/>
  <c r="C9" s="1"/>
  <c r="T8"/>
  <c r="O8"/>
  <c r="C8"/>
  <c r="B8"/>
  <c r="B13" s="1"/>
  <c r="R7"/>
  <c r="O7"/>
  <c r="D7"/>
  <c r="T7" s="1"/>
  <c r="C7"/>
  <c r="R6"/>
  <c r="P6"/>
  <c r="N6"/>
  <c r="E6"/>
  <c r="D6"/>
  <c r="T6" s="1"/>
  <c r="S6" s="1"/>
  <c r="T5"/>
  <c r="T22" s="1"/>
  <c r="S5"/>
  <c r="R5"/>
  <c r="C13" i="16"/>
  <c r="C12"/>
  <c r="D11"/>
  <c r="C11"/>
  <c r="C10"/>
  <c r="T9"/>
  <c r="R9"/>
  <c r="B9"/>
  <c r="D9" s="1"/>
  <c r="D8" s="1"/>
  <c r="B8"/>
  <c r="R8" s="1"/>
  <c r="T7"/>
  <c r="R7"/>
  <c r="S7" s="1"/>
  <c r="C7"/>
  <c r="T6"/>
  <c r="R6"/>
  <c r="S6" s="1"/>
  <c r="P6"/>
  <c r="O6"/>
  <c r="N6"/>
  <c r="E6"/>
  <c r="D6"/>
  <c r="T5"/>
  <c r="R5"/>
  <c r="U5" s="1"/>
  <c r="C5"/>
  <c r="O9" s="1"/>
  <c r="O3"/>
  <c r="N3"/>
  <c r="B13" i="15"/>
  <c r="N9"/>
  <c r="N8"/>
  <c r="N7"/>
  <c r="N6"/>
  <c r="E6"/>
  <c r="D6"/>
  <c r="D13" s="1"/>
  <c r="G12" s="1"/>
  <c r="C5"/>
  <c r="O9" s="1"/>
  <c r="P9" s="1"/>
  <c r="J4"/>
  <c r="K4" s="1"/>
  <c r="B17" i="14"/>
  <c r="C15"/>
  <c r="D14"/>
  <c r="C14"/>
  <c r="C13"/>
  <c r="C12"/>
  <c r="C11"/>
  <c r="T10"/>
  <c r="R10"/>
  <c r="E10"/>
  <c r="S9"/>
  <c r="O17" s="1"/>
  <c r="R9"/>
  <c r="N15" s="1"/>
  <c r="D9"/>
  <c r="S8"/>
  <c r="O9" s="1"/>
  <c r="R8"/>
  <c r="T8" s="1"/>
  <c r="N8"/>
  <c r="J8"/>
  <c r="J9" s="1"/>
  <c r="E8"/>
  <c r="S7"/>
  <c r="R7"/>
  <c r="T7" s="1"/>
  <c r="O7"/>
  <c r="P7" s="1"/>
  <c r="N7"/>
  <c r="E7"/>
  <c r="S6"/>
  <c r="R6"/>
  <c r="T6" s="1"/>
  <c r="O6"/>
  <c r="P6" s="1"/>
  <c r="N6"/>
  <c r="D6"/>
  <c r="R5"/>
  <c r="R37" s="1"/>
  <c r="D5"/>
  <c r="G17" s="1"/>
  <c r="J4"/>
  <c r="B19" i="13"/>
  <c r="C17"/>
  <c r="P16"/>
  <c r="N16"/>
  <c r="C16"/>
  <c r="O16" s="1"/>
  <c r="N15"/>
  <c r="C15"/>
  <c r="T14"/>
  <c r="R14"/>
  <c r="P14"/>
  <c r="O14"/>
  <c r="N14"/>
  <c r="N17" s="1"/>
  <c r="D14"/>
  <c r="P15" s="1"/>
  <c r="C14"/>
  <c r="O15" s="1"/>
  <c r="T13"/>
  <c r="R13"/>
  <c r="C13"/>
  <c r="T12"/>
  <c r="R12"/>
  <c r="C12"/>
  <c r="T11"/>
  <c r="R11"/>
  <c r="C11"/>
  <c r="T10"/>
  <c r="R10"/>
  <c r="C10"/>
  <c r="T9"/>
  <c r="R9"/>
  <c r="C9"/>
  <c r="U8"/>
  <c r="T8"/>
  <c r="S8"/>
  <c r="O17" s="1"/>
  <c r="P17" s="1"/>
  <c r="R8"/>
  <c r="P8"/>
  <c r="O8" s="1"/>
  <c r="N8"/>
  <c r="C8"/>
  <c r="T7"/>
  <c r="R7"/>
  <c r="N9" s="1"/>
  <c r="P7"/>
  <c r="O7"/>
  <c r="N7"/>
  <c r="C7"/>
  <c r="T6"/>
  <c r="S6"/>
  <c r="O9" s="1"/>
  <c r="P9" s="1"/>
  <c r="R6"/>
  <c r="N6"/>
  <c r="E6"/>
  <c r="D6"/>
  <c r="D19" s="1"/>
  <c r="T5"/>
  <c r="T19" s="1"/>
  <c r="R5"/>
  <c r="R19" s="1"/>
  <c r="C5"/>
  <c r="O6" s="1"/>
  <c r="P6" s="1"/>
  <c r="J4"/>
  <c r="K4" s="1"/>
  <c r="B14" i="12"/>
  <c r="N9"/>
  <c r="N8"/>
  <c r="N7"/>
  <c r="D7"/>
  <c r="D14" s="1"/>
  <c r="G13" s="1"/>
  <c r="N6"/>
  <c r="E6"/>
  <c r="D6"/>
  <c r="C5"/>
  <c r="O9" s="1"/>
  <c r="P9" s="1"/>
  <c r="J4"/>
  <c r="E7" s="1"/>
  <c r="B14" i="11"/>
  <c r="J4" s="1"/>
  <c r="D12"/>
  <c r="C12" s="1"/>
  <c r="C11"/>
  <c r="C10"/>
  <c r="O9"/>
  <c r="C9"/>
  <c r="O8"/>
  <c r="C8"/>
  <c r="T7"/>
  <c r="U7" s="1"/>
  <c r="R7"/>
  <c r="C7"/>
  <c r="T6"/>
  <c r="S6" s="1"/>
  <c r="R6"/>
  <c r="O6"/>
  <c r="E6"/>
  <c r="D6"/>
  <c r="D14" s="1"/>
  <c r="G13" s="1"/>
  <c r="T5"/>
  <c r="T14" s="1"/>
  <c r="R5"/>
  <c r="N9" s="1"/>
  <c r="C5"/>
  <c r="O7" s="1"/>
  <c r="D15" i="10"/>
  <c r="B15"/>
  <c r="G14"/>
  <c r="C13"/>
  <c r="C12"/>
  <c r="C11"/>
  <c r="C10"/>
  <c r="N9"/>
  <c r="C9"/>
  <c r="T8"/>
  <c r="S8" s="1"/>
  <c r="R8"/>
  <c r="O8"/>
  <c r="P8" s="1"/>
  <c r="N8"/>
  <c r="C8"/>
  <c r="T7"/>
  <c r="S7"/>
  <c r="R7"/>
  <c r="P7"/>
  <c r="N7"/>
  <c r="C7"/>
  <c r="T6"/>
  <c r="R6"/>
  <c r="P6"/>
  <c r="N6"/>
  <c r="C6"/>
  <c r="T5"/>
  <c r="S5" s="1"/>
  <c r="R5"/>
  <c r="R17" s="1"/>
  <c r="C5"/>
  <c r="O9" s="1"/>
  <c r="P9" s="1"/>
  <c r="K4"/>
  <c r="J4"/>
  <c r="B14" i="9"/>
  <c r="N6" s="1"/>
  <c r="C12"/>
  <c r="C11"/>
  <c r="C10"/>
  <c r="N9"/>
  <c r="C9"/>
  <c r="N8"/>
  <c r="C8"/>
  <c r="T7"/>
  <c r="R7"/>
  <c r="N7"/>
  <c r="C7"/>
  <c r="R6"/>
  <c r="P6"/>
  <c r="O6"/>
  <c r="E6"/>
  <c r="U6" s="1"/>
  <c r="D6"/>
  <c r="D14" s="1"/>
  <c r="G13" s="1"/>
  <c r="T5"/>
  <c r="R5"/>
  <c r="R17" s="1"/>
  <c r="C5"/>
  <c r="O9" s="1"/>
  <c r="P9" s="1"/>
  <c r="O3"/>
  <c r="B13" i="8"/>
  <c r="N9" s="1"/>
  <c r="C11"/>
  <c r="C10"/>
  <c r="T9"/>
  <c r="R9"/>
  <c r="O9"/>
  <c r="P9" s="1"/>
  <c r="C9"/>
  <c r="T8"/>
  <c r="R8"/>
  <c r="O8"/>
  <c r="C8"/>
  <c r="T7"/>
  <c r="S7"/>
  <c r="O7" s="1"/>
  <c r="N3" s="1"/>
  <c r="R7"/>
  <c r="P7"/>
  <c r="N7"/>
  <c r="C7"/>
  <c r="R6"/>
  <c r="U6" s="1"/>
  <c r="P6"/>
  <c r="O6"/>
  <c r="O3" s="1"/>
  <c r="N6"/>
  <c r="E6"/>
  <c r="D6"/>
  <c r="D13" s="1"/>
  <c r="G12" s="1"/>
  <c r="T5"/>
  <c r="R5"/>
  <c r="R13" s="1"/>
  <c r="C5"/>
  <c r="N7" i="7"/>
  <c r="C7"/>
  <c r="R6"/>
  <c r="U6" s="1"/>
  <c r="E6"/>
  <c r="D6"/>
  <c r="T6" s="1"/>
  <c r="R5"/>
  <c r="R13" s="1"/>
  <c r="C5"/>
  <c r="O9" s="1"/>
  <c r="B5"/>
  <c r="B13" s="1"/>
  <c r="C4" i="6"/>
  <c r="C77" i="5"/>
  <c r="E74"/>
  <c r="E73"/>
  <c r="E72"/>
  <c r="E71"/>
  <c r="E70"/>
  <c r="E69"/>
  <c r="E68"/>
  <c r="E67"/>
  <c r="E66"/>
  <c r="E65"/>
  <c r="E64"/>
  <c r="D63"/>
  <c r="E63" s="1"/>
  <c r="E62"/>
  <c r="E61"/>
  <c r="E60"/>
  <c r="E53"/>
  <c r="D53"/>
  <c r="G53" s="1"/>
  <c r="C53"/>
  <c r="E52"/>
  <c r="D52"/>
  <c r="G52" s="1"/>
  <c r="H36" s="1"/>
  <c r="H41" s="1"/>
  <c r="C52"/>
  <c r="F51"/>
  <c r="E51"/>
  <c r="D51"/>
  <c r="C51"/>
  <c r="G51" s="1"/>
  <c r="H35" s="1"/>
  <c r="M46"/>
  <c r="M45"/>
  <c r="M44"/>
  <c r="M43"/>
  <c r="M42"/>
  <c r="D42"/>
  <c r="E42" s="1"/>
  <c r="F42" s="1"/>
  <c r="M41"/>
  <c r="E41"/>
  <c r="F41" s="1"/>
  <c r="D40"/>
  <c r="E40" s="1"/>
  <c r="F40" s="1"/>
  <c r="D39"/>
  <c r="E39" s="1"/>
  <c r="F39" s="1"/>
  <c r="L38"/>
  <c r="M38" s="1"/>
  <c r="D38"/>
  <c r="E38" s="1"/>
  <c r="F38" s="1"/>
  <c r="M37"/>
  <c r="E37"/>
  <c r="F37" s="1"/>
  <c r="D37"/>
  <c r="M36"/>
  <c r="D36"/>
  <c r="E36" s="1"/>
  <c r="F36" s="1"/>
  <c r="I36" s="1"/>
  <c r="K36" s="1"/>
  <c r="M35"/>
  <c r="E35"/>
  <c r="F35" s="1"/>
  <c r="I35" s="1"/>
  <c r="K35" s="1"/>
  <c r="D35"/>
  <c r="E31"/>
  <c r="D31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E8"/>
  <c r="E7"/>
  <c r="E6"/>
  <c r="E5"/>
  <c r="J12" s="1"/>
  <c r="O32" i="4"/>
  <c r="P32" s="1"/>
  <c r="N32"/>
  <c r="O31"/>
  <c r="N31"/>
  <c r="O30"/>
  <c r="P30" s="1"/>
  <c r="N30"/>
  <c r="O29"/>
  <c r="N29"/>
  <c r="O23"/>
  <c r="N23"/>
  <c r="O22"/>
  <c r="P22" s="1"/>
  <c r="N22"/>
  <c r="O21"/>
  <c r="N21"/>
  <c r="O20"/>
  <c r="P20" s="1"/>
  <c r="N20"/>
  <c r="O14"/>
  <c r="P14" s="1"/>
  <c r="N14"/>
  <c r="O13"/>
  <c r="N13"/>
  <c r="O12"/>
  <c r="P12" s="1"/>
  <c r="N12"/>
  <c r="O11"/>
  <c r="N11"/>
  <c r="B9"/>
  <c r="J4" s="1"/>
  <c r="D7"/>
  <c r="O6"/>
  <c r="D6"/>
  <c r="D5"/>
  <c r="D9" s="1"/>
  <c r="D235" i="3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58" s="1"/>
  <c r="Y2"/>
  <c r="N59" i="2"/>
  <c r="N58"/>
  <c r="O56"/>
  <c r="N51"/>
  <c r="N50"/>
  <c r="N48"/>
  <c r="N43"/>
  <c r="N42"/>
  <c r="N41"/>
  <c r="O40"/>
  <c r="P40" s="1"/>
  <c r="N40"/>
  <c r="D36"/>
  <c r="B36"/>
  <c r="N35"/>
  <c r="B35"/>
  <c r="C35" s="1"/>
  <c r="N34"/>
  <c r="C34"/>
  <c r="N33"/>
  <c r="D33"/>
  <c r="C33" s="1"/>
  <c r="O18" s="1"/>
  <c r="P18" s="1"/>
  <c r="B33"/>
  <c r="O32"/>
  <c r="P32" s="1"/>
  <c r="N32"/>
  <c r="C32"/>
  <c r="O48" s="1"/>
  <c r="P48" s="1"/>
  <c r="B30"/>
  <c r="D30" s="1"/>
  <c r="U21" s="1"/>
  <c r="T21" s="1"/>
  <c r="D29"/>
  <c r="D28"/>
  <c r="N27"/>
  <c r="D27"/>
  <c r="N26"/>
  <c r="D26"/>
  <c r="C26"/>
  <c r="O25"/>
  <c r="P25" s="1"/>
  <c r="N25"/>
  <c r="C25"/>
  <c r="U24"/>
  <c r="T24"/>
  <c r="S24"/>
  <c r="O24"/>
  <c r="N24"/>
  <c r="P24" s="1"/>
  <c r="C24"/>
  <c r="U23"/>
  <c r="S23"/>
  <c r="C23"/>
  <c r="C22"/>
  <c r="S21"/>
  <c r="C21"/>
  <c r="C20"/>
  <c r="O35" s="1"/>
  <c r="P35" s="1"/>
  <c r="U19"/>
  <c r="T19"/>
  <c r="O50" s="1"/>
  <c r="P50" s="1"/>
  <c r="S19"/>
  <c r="N49" s="1"/>
  <c r="N19"/>
  <c r="C19"/>
  <c r="O27" s="1"/>
  <c r="P27" s="1"/>
  <c r="U18"/>
  <c r="T18" s="1"/>
  <c r="S18"/>
  <c r="N18"/>
  <c r="D18"/>
  <c r="C18" s="1"/>
  <c r="O16" s="1"/>
  <c r="U17"/>
  <c r="T17" s="1"/>
  <c r="S17"/>
  <c r="O17"/>
  <c r="P17" s="1"/>
  <c r="N17"/>
  <c r="C17"/>
  <c r="O19" s="1"/>
  <c r="P19" s="1"/>
  <c r="U16"/>
  <c r="T16"/>
  <c r="S16"/>
  <c r="N16"/>
  <c r="D16"/>
  <c r="U15"/>
  <c r="T15" s="1"/>
  <c r="S15"/>
  <c r="D15"/>
  <c r="U14"/>
  <c r="T14" s="1"/>
  <c r="S14"/>
  <c r="D14"/>
  <c r="U13"/>
  <c r="S13"/>
  <c r="D13"/>
  <c r="U12"/>
  <c r="T12" s="1"/>
  <c r="S12"/>
  <c r="D12"/>
  <c r="U11"/>
  <c r="S11"/>
  <c r="O11"/>
  <c r="N11"/>
  <c r="D11"/>
  <c r="U10"/>
  <c r="S10"/>
  <c r="O10"/>
  <c r="N10"/>
  <c r="P10" s="1"/>
  <c r="D10"/>
  <c r="T9"/>
  <c r="S9"/>
  <c r="O9"/>
  <c r="N9"/>
  <c r="P9" s="1"/>
  <c r="C9"/>
  <c r="T8"/>
  <c r="S8"/>
  <c r="O8"/>
  <c r="N8"/>
  <c r="P8" s="1"/>
  <c r="C8"/>
  <c r="S7"/>
  <c r="T7" s="1"/>
  <c r="C7"/>
  <c r="S6"/>
  <c r="U6" s="1"/>
  <c r="E6"/>
  <c r="D6"/>
  <c r="S5"/>
  <c r="U5" s="1"/>
  <c r="D5"/>
  <c r="B42" i="1"/>
  <c r="B41"/>
  <c r="C40"/>
  <c r="B38"/>
  <c r="C37"/>
  <c r="C36"/>
  <c r="C35"/>
  <c r="C34"/>
  <c r="D33"/>
  <c r="D32"/>
  <c r="D31"/>
  <c r="D30"/>
  <c r="D29"/>
  <c r="C28"/>
  <c r="D27"/>
  <c r="D26"/>
  <c r="N25"/>
  <c r="D25"/>
  <c r="T24"/>
  <c r="S24" s="1"/>
  <c r="R24"/>
  <c r="D24"/>
  <c r="T23"/>
  <c r="S23"/>
  <c r="O24" s="1"/>
  <c r="R23"/>
  <c r="N24" s="1"/>
  <c r="N23"/>
  <c r="D23"/>
  <c r="C23"/>
  <c r="B23"/>
  <c r="N22"/>
  <c r="D22"/>
  <c r="D21"/>
  <c r="T20"/>
  <c r="S20"/>
  <c r="R20"/>
  <c r="C20"/>
  <c r="C19"/>
  <c r="D19" s="1"/>
  <c r="T10" s="1"/>
  <c r="S10" s="1"/>
  <c r="D18"/>
  <c r="C18"/>
  <c r="S17"/>
  <c r="R17"/>
  <c r="N17"/>
  <c r="D17"/>
  <c r="T16"/>
  <c r="R16"/>
  <c r="N16"/>
  <c r="D16"/>
  <c r="T15"/>
  <c r="R15"/>
  <c r="D15"/>
  <c r="T14"/>
  <c r="R14"/>
  <c r="O14"/>
  <c r="N14"/>
  <c r="P14" s="1"/>
  <c r="D14"/>
  <c r="T13"/>
  <c r="S13" s="1"/>
  <c r="R13"/>
  <c r="D13"/>
  <c r="R12"/>
  <c r="T12" s="1"/>
  <c r="E12"/>
  <c r="D12"/>
  <c r="T11"/>
  <c r="R11"/>
  <c r="D11"/>
  <c r="R10"/>
  <c r="D10"/>
  <c r="T9"/>
  <c r="R9"/>
  <c r="N9"/>
  <c r="D9"/>
  <c r="T8"/>
  <c r="R8"/>
  <c r="N8"/>
  <c r="D8"/>
  <c r="T7"/>
  <c r="R7"/>
  <c r="D7"/>
  <c r="R6"/>
  <c r="T6" s="1"/>
  <c r="O6"/>
  <c r="D6"/>
  <c r="R5"/>
  <c r="D5"/>
  <c r="P3" i="16" l="1"/>
  <c r="P3" i="30"/>
  <c r="P3" i="37"/>
  <c r="P11" i="2"/>
  <c r="P13" s="1"/>
  <c r="P11" i="4"/>
  <c r="P17" s="1"/>
  <c r="P13"/>
  <c r="P21"/>
  <c r="P23"/>
  <c r="P29"/>
  <c r="P35" s="1"/>
  <c r="P31"/>
  <c r="P3" i="8"/>
  <c r="P11" i="10"/>
  <c r="P16" i="2"/>
  <c r="P21" s="1"/>
  <c r="O3"/>
  <c r="P24" i="1"/>
  <c r="O43" i="2"/>
  <c r="P43" s="1"/>
  <c r="O41"/>
  <c r="P41" s="1"/>
  <c r="N74"/>
  <c r="N75"/>
  <c r="N73"/>
  <c r="H38" i="5"/>
  <c r="H37"/>
  <c r="O3" i="1"/>
  <c r="T5"/>
  <c r="R19"/>
  <c r="N15" s="1"/>
  <c r="T19"/>
  <c r="S19" s="1"/>
  <c r="R21"/>
  <c r="O22"/>
  <c r="P22" s="1"/>
  <c r="O23"/>
  <c r="P23" s="1"/>
  <c r="O25"/>
  <c r="P25" s="1"/>
  <c r="D38"/>
  <c r="T21" s="1"/>
  <c r="O26" i="2"/>
  <c r="P26" s="1"/>
  <c r="P29" s="1"/>
  <c r="O49"/>
  <c r="P49" s="1"/>
  <c r="O51"/>
  <c r="P51" s="1"/>
  <c r="K4" i="4"/>
  <c r="P26"/>
  <c r="J14" i="5"/>
  <c r="I37"/>
  <c r="K37" s="1"/>
  <c r="I38"/>
  <c r="K38" s="1"/>
  <c r="I41"/>
  <c r="K41" s="1"/>
  <c r="P9" i="11"/>
  <c r="K4"/>
  <c r="P11" i="13"/>
  <c r="D15" i="16"/>
  <c r="O75" i="2"/>
  <c r="P75" s="1"/>
  <c r="O73"/>
  <c r="P73" s="1"/>
  <c r="O74"/>
  <c r="P74" s="1"/>
  <c r="O72"/>
  <c r="J4" i="7"/>
  <c r="N9"/>
  <c r="P9" s="1"/>
  <c r="R32" i="13"/>
  <c r="G18"/>
  <c r="N3"/>
  <c r="O3"/>
  <c r="T8" i="16"/>
  <c r="S8" s="1"/>
  <c r="C8"/>
  <c r="N8" i="17"/>
  <c r="J4"/>
  <c r="N9"/>
  <c r="P9" s="1"/>
  <c r="N7"/>
  <c r="P7" s="1"/>
  <c r="B39" i="1"/>
  <c r="B39" i="2"/>
  <c r="B31"/>
  <c r="O33"/>
  <c r="P33" s="1"/>
  <c r="O34"/>
  <c r="P34" s="1"/>
  <c r="O42"/>
  <c r="P42" s="1"/>
  <c r="P45" s="1"/>
  <c r="N72"/>
  <c r="P19" i="13"/>
  <c r="P8" i="17"/>
  <c r="P11" s="1"/>
  <c r="O6" i="19"/>
  <c r="C11"/>
  <c r="P8"/>
  <c r="O8" s="1"/>
  <c r="S5" i="21"/>
  <c r="J4" i="25"/>
  <c r="N3"/>
  <c r="P3" s="1"/>
  <c r="N8"/>
  <c r="P8" s="1"/>
  <c r="O7" i="26"/>
  <c r="O8"/>
  <c r="P8" s="1"/>
  <c r="O6"/>
  <c r="P6" s="1"/>
  <c r="G12" i="31"/>
  <c r="K4"/>
  <c r="O26" i="33"/>
  <c r="P26" s="1"/>
  <c r="O24"/>
  <c r="P24" s="1"/>
  <c r="K4" i="38"/>
  <c r="G13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L39" i="5"/>
  <c r="D77"/>
  <c r="O6" i="7"/>
  <c r="O8"/>
  <c r="T17" i="10"/>
  <c r="U5" i="11"/>
  <c r="N7"/>
  <c r="P7" s="1"/>
  <c r="R14"/>
  <c r="O6" i="12"/>
  <c r="P6" s="1"/>
  <c r="O8"/>
  <c r="P8" s="1"/>
  <c r="V7" i="13"/>
  <c r="N9" i="14"/>
  <c r="P9" s="1"/>
  <c r="O14"/>
  <c r="O15"/>
  <c r="P15" s="1"/>
  <c r="N16"/>
  <c r="D17"/>
  <c r="K4" s="1"/>
  <c r="N17"/>
  <c r="P17" s="1"/>
  <c r="O6" i="15"/>
  <c r="P6" s="1"/>
  <c r="O8"/>
  <c r="P8" s="1"/>
  <c r="O7" i="16"/>
  <c r="R14"/>
  <c r="B15"/>
  <c r="R8" i="17"/>
  <c r="R22" s="1"/>
  <c r="D13"/>
  <c r="G12" s="1"/>
  <c r="S5" i="18"/>
  <c r="T5" s="1"/>
  <c r="T33" s="1"/>
  <c r="W33" s="1"/>
  <c r="O6"/>
  <c r="O8"/>
  <c r="P8" s="1"/>
  <c r="N9"/>
  <c r="P9" s="1"/>
  <c r="R33"/>
  <c r="S6" i="19"/>
  <c r="K4" i="26"/>
  <c r="P12" i="30"/>
  <c r="D11" i="21"/>
  <c r="T7"/>
  <c r="T23" s="1"/>
  <c r="C7"/>
  <c r="P6"/>
  <c r="O17" i="29"/>
  <c r="O16"/>
  <c r="P23" i="33"/>
  <c r="P28" s="1"/>
  <c r="O3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N6" i="4"/>
  <c r="P6" s="1"/>
  <c r="G8"/>
  <c r="D5" i="7"/>
  <c r="N6"/>
  <c r="O7"/>
  <c r="P7" s="1"/>
  <c r="N8"/>
  <c r="J4" i="8"/>
  <c r="K4" s="1"/>
  <c r="S5"/>
  <c r="T6"/>
  <c r="T13" s="1"/>
  <c r="N8"/>
  <c r="P8" s="1"/>
  <c r="P11" s="1"/>
  <c r="J4" i="9"/>
  <c r="K4" s="1"/>
  <c r="S5"/>
  <c r="T6"/>
  <c r="T17" s="1"/>
  <c r="O7"/>
  <c r="O8"/>
  <c r="P8" s="1"/>
  <c r="O6" i="10"/>
  <c r="O7"/>
  <c r="N6" i="11"/>
  <c r="P6" s="1"/>
  <c r="N8"/>
  <c r="P8" s="1"/>
  <c r="K4" i="12"/>
  <c r="O7"/>
  <c r="P7" s="1"/>
  <c r="U5" i="13"/>
  <c r="T5" i="14"/>
  <c r="O8"/>
  <c r="P8" s="1"/>
  <c r="P11" s="1"/>
  <c r="T9"/>
  <c r="N14"/>
  <c r="O16"/>
  <c r="P16" s="1"/>
  <c r="O7" i="15"/>
  <c r="P7" s="1"/>
  <c r="O8" i="16"/>
  <c r="O6" i="17"/>
  <c r="O7" i="18"/>
  <c r="C11"/>
  <c r="T10" i="19"/>
  <c r="T25" s="1"/>
  <c r="D13"/>
  <c r="G12" s="1"/>
  <c r="P9" i="21"/>
  <c r="K4" i="22"/>
  <c r="K4" i="28"/>
  <c r="K4" i="29"/>
  <c r="V7" i="35"/>
  <c r="P8" i="36"/>
  <c r="O6" i="20"/>
  <c r="P6" s="1"/>
  <c r="P11" s="1"/>
  <c r="O8"/>
  <c r="P8" s="1"/>
  <c r="N7" i="21"/>
  <c r="P7" s="1"/>
  <c r="N8"/>
  <c r="P8" s="1"/>
  <c r="S5" i="22"/>
  <c r="O9" s="1"/>
  <c r="P9" s="1"/>
  <c r="P6"/>
  <c r="C7"/>
  <c r="S5" i="23"/>
  <c r="N6"/>
  <c r="P6" s="1"/>
  <c r="O7"/>
  <c r="N8"/>
  <c r="P8" s="1"/>
  <c r="R21"/>
  <c r="N3" i="24"/>
  <c r="P3" s="1"/>
  <c r="C7"/>
  <c r="T5" i="25"/>
  <c r="T40" s="1"/>
  <c r="R9"/>
  <c r="S9" s="1"/>
  <c r="R24"/>
  <c r="R25"/>
  <c r="N7" i="26"/>
  <c r="O14"/>
  <c r="P14" s="1"/>
  <c r="O16"/>
  <c r="P16" s="1"/>
  <c r="O17"/>
  <c r="P17" s="1"/>
  <c r="N6" i="27"/>
  <c r="O7"/>
  <c r="P7" s="1"/>
  <c r="N8"/>
  <c r="O6" i="28"/>
  <c r="O8"/>
  <c r="P8" s="1"/>
  <c r="P11" s="1"/>
  <c r="C10"/>
  <c r="N8" i="29"/>
  <c r="C9"/>
  <c r="T9"/>
  <c r="V9" s="1"/>
  <c r="N16"/>
  <c r="N17"/>
  <c r="C24"/>
  <c r="S5" i="30"/>
  <c r="O6" i="31"/>
  <c r="P6" s="1"/>
  <c r="O7"/>
  <c r="P7" s="1"/>
  <c r="C6" i="32"/>
  <c r="O7"/>
  <c r="P7" s="1"/>
  <c r="N8"/>
  <c r="N3" i="33"/>
  <c r="D5"/>
  <c r="D48" s="1"/>
  <c r="G48" s="1"/>
  <c r="N16"/>
  <c r="T16"/>
  <c r="V17" s="1"/>
  <c r="O6" i="35"/>
  <c r="T6"/>
  <c r="C7"/>
  <c r="P7"/>
  <c r="O7" s="1"/>
  <c r="O8"/>
  <c r="B12"/>
  <c r="T5" i="36"/>
  <c r="O6"/>
  <c r="O9"/>
  <c r="P9" s="1"/>
  <c r="S5" i="37"/>
  <c r="S5" i="38"/>
  <c r="N7"/>
  <c r="O8"/>
  <c r="P8" s="1"/>
  <c r="N7" i="23"/>
  <c r="T6" i="26"/>
  <c r="T17" s="1"/>
  <c r="O6" i="27"/>
  <c r="P6" s="1"/>
  <c r="O8"/>
  <c r="P8" s="1"/>
  <c r="O7" i="29"/>
  <c r="O8"/>
  <c r="P8" s="1"/>
  <c r="O6" i="32"/>
  <c r="O8"/>
  <c r="P8" s="1"/>
  <c r="R5" i="33"/>
  <c r="V16"/>
  <c r="O6" i="34"/>
  <c r="P6" s="1"/>
  <c r="O7"/>
  <c r="P7" s="1"/>
  <c r="Q7"/>
  <c r="O8"/>
  <c r="P8" s="1"/>
  <c r="Q8"/>
  <c r="T8" i="35"/>
  <c r="O7" i="38"/>
  <c r="P7" s="1"/>
  <c r="P37" i="2" l="1"/>
  <c r="P11" i="38"/>
  <c r="P11" i="36"/>
  <c r="P53" i="2"/>
  <c r="P11" i="11"/>
  <c r="T5" i="33"/>
  <c r="O3" i="32"/>
  <c r="P6"/>
  <c r="P11" s="1"/>
  <c r="N3"/>
  <c r="O3" i="29"/>
  <c r="P7"/>
  <c r="P11" s="1"/>
  <c r="O8" i="37"/>
  <c r="P8" s="1"/>
  <c r="O9"/>
  <c r="P9" s="1"/>
  <c r="O7"/>
  <c r="P7" s="1"/>
  <c r="O3" i="36"/>
  <c r="N3"/>
  <c r="N8" i="35"/>
  <c r="J4"/>
  <c r="K4" s="1"/>
  <c r="N9"/>
  <c r="P9" s="1"/>
  <c r="O3" i="28"/>
  <c r="N3"/>
  <c r="P11" i="22"/>
  <c r="O6"/>
  <c r="T37" i="14"/>
  <c r="S5"/>
  <c r="D13" i="7"/>
  <c r="G12" s="1"/>
  <c r="T5"/>
  <c r="G10" i="21"/>
  <c r="K4"/>
  <c r="P6" i="18"/>
  <c r="P11" s="1"/>
  <c r="N3"/>
  <c r="O3"/>
  <c r="N7" i="16"/>
  <c r="N9"/>
  <c r="P9" s="1"/>
  <c r="N8"/>
  <c r="J4"/>
  <c r="K4" s="1"/>
  <c r="N56" i="2"/>
  <c r="P56" s="1"/>
  <c r="S22"/>
  <c r="D31"/>
  <c r="D39" s="1"/>
  <c r="G38" s="1"/>
  <c r="U20"/>
  <c r="S20"/>
  <c r="H42" i="5"/>
  <c r="I42" s="1"/>
  <c r="K42" s="1"/>
  <c r="H39"/>
  <c r="P11" i="34"/>
  <c r="P11" i="27"/>
  <c r="T20" i="35"/>
  <c r="P11" i="31"/>
  <c r="P20" i="26"/>
  <c r="P7" i="23"/>
  <c r="P11" s="1"/>
  <c r="G11" i="35"/>
  <c r="T30" i="29"/>
  <c r="P8" i="16"/>
  <c r="P17" i="29"/>
  <c r="K4" i="19"/>
  <c r="P7" i="16"/>
  <c r="P12" s="1"/>
  <c r="P11" i="15"/>
  <c r="P8" i="7"/>
  <c r="P11" i="19"/>
  <c r="T14" i="16"/>
  <c r="K4" i="17"/>
  <c r="P3" i="13"/>
  <c r="P72" i="2"/>
  <c r="P77" s="1"/>
  <c r="S5" i="36"/>
  <c r="T18"/>
  <c r="O3" i="35"/>
  <c r="N3"/>
  <c r="T22" i="33"/>
  <c r="N39"/>
  <c r="R22"/>
  <c r="T9"/>
  <c r="S9" s="1"/>
  <c r="O17" s="1"/>
  <c r="P17" s="1"/>
  <c r="R9"/>
  <c r="N17" s="1"/>
  <c r="O3" i="17"/>
  <c r="P3" s="1"/>
  <c r="N3"/>
  <c r="O3" i="10"/>
  <c r="N3"/>
  <c r="P7" i="9"/>
  <c r="P12" s="1"/>
  <c r="N3"/>
  <c r="P3" s="1"/>
  <c r="P11" i="21"/>
  <c r="O6"/>
  <c r="P6" i="7"/>
  <c r="P11" s="1"/>
  <c r="O3"/>
  <c r="N3"/>
  <c r="M39" i="5"/>
  <c r="L40"/>
  <c r="M40" s="1"/>
  <c r="N3" i="19"/>
  <c r="O3"/>
  <c r="J7" i="2"/>
  <c r="J8" s="1"/>
  <c r="J4"/>
  <c r="K4" s="1"/>
  <c r="D39" i="1"/>
  <c r="T22" s="1"/>
  <c r="T32" s="1"/>
  <c r="R22"/>
  <c r="T18"/>
  <c r="S18" s="1"/>
  <c r="R18"/>
  <c r="N6"/>
  <c r="O17"/>
  <c r="P17" s="1"/>
  <c r="O16"/>
  <c r="P16" s="1"/>
  <c r="O15"/>
  <c r="P15" s="1"/>
  <c r="N3" i="2"/>
  <c r="P3" s="1"/>
  <c r="P8" i="35"/>
  <c r="P11" s="1"/>
  <c r="K4" i="33"/>
  <c r="R40" i="25"/>
  <c r="N18" i="7"/>
  <c r="P3" i="33"/>
  <c r="P16" i="29"/>
  <c r="P19" s="1"/>
  <c r="P16" i="33"/>
  <c r="P19" s="1"/>
  <c r="N3" i="29"/>
  <c r="P14" i="14"/>
  <c r="P19" s="1"/>
  <c r="P12" i="12"/>
  <c r="P7" i="26"/>
  <c r="P11" s="1"/>
  <c r="K4" i="7"/>
  <c r="G14" i="16"/>
  <c r="P27" i="1"/>
  <c r="D44"/>
  <c r="B44"/>
  <c r="P3" i="19" l="1"/>
  <c r="P3" i="10"/>
  <c r="G43" i="1"/>
  <c r="G7"/>
  <c r="N3"/>
  <c r="P3" s="1"/>
  <c r="P6"/>
  <c r="O9"/>
  <c r="P9" s="1"/>
  <c r="O8"/>
  <c r="P8" s="1"/>
  <c r="O7"/>
  <c r="T20" i="2"/>
  <c r="S5" i="7"/>
  <c r="T13"/>
  <c r="N3" i="22"/>
  <c r="O3"/>
  <c r="P3" i="36"/>
  <c r="P3" i="32"/>
  <c r="T48" i="33"/>
  <c r="J12" i="1"/>
  <c r="J13" s="1"/>
  <c r="J4"/>
  <c r="K4" s="1"/>
  <c r="N7"/>
  <c r="R32"/>
  <c r="O3" i="21"/>
  <c r="N3"/>
  <c r="H40" i="5"/>
  <c r="I40" s="1"/>
  <c r="K40" s="1"/>
  <c r="I39"/>
  <c r="K39" s="1"/>
  <c r="J13" s="1"/>
  <c r="N57" i="2"/>
  <c r="S38"/>
  <c r="P19" i="1"/>
  <c r="M47" i="5"/>
  <c r="P3" i="7"/>
  <c r="P3" i="35"/>
  <c r="K14" i="5"/>
  <c r="U22" i="2"/>
  <c r="U38" s="1"/>
  <c r="P3" i="18"/>
  <c r="P3" i="28"/>
  <c r="P11" i="37"/>
  <c r="P3" i="29"/>
  <c r="R48" i="33"/>
  <c r="J15" i="5" l="1"/>
  <c r="J16" s="1"/>
  <c r="O47"/>
  <c r="P47" s="1"/>
  <c r="W48" i="33"/>
  <c r="P3" i="22"/>
  <c r="P7" i="1"/>
  <c r="O59" i="2"/>
  <c r="P59" s="1"/>
  <c r="O57"/>
  <c r="P57" s="1"/>
  <c r="O58"/>
  <c r="P58" s="1"/>
  <c r="P3" i="21"/>
  <c r="P11" i="1"/>
  <c r="P61" i="2" l="1"/>
</calcChain>
</file>

<file path=xl/sharedStrings.xml><?xml version="1.0" encoding="utf-8"?>
<sst xmlns="http://schemas.openxmlformats.org/spreadsheetml/2006/main" count="889" uniqueCount="97">
  <si>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</si>
  <si>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</si>
  <si>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</si>
  <si>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</si>
  <si>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</si>
  <si>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</si>
  <si>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</si>
  <si>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</si>
  <si>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</si>
  <si>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DCA1</t>
  </si>
  <si>
    <t>Objectif</t>
  </si>
  <si>
    <t>Done</t>
  </si>
  <si>
    <t>Moy</t>
  </si>
  <si>
    <t>Difference</t>
  </si>
  <si>
    <t>Diff in $</t>
  </si>
  <si>
    <t>DCA2</t>
  </si>
  <si>
    <t>DCA3</t>
  </si>
  <si>
    <t>DCA2 1/5</t>
  </si>
  <si>
    <t>DCA1 1/5</t>
  </si>
  <si>
    <t>ETH/BTC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</si>
  <si>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</si>
  <si>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</si>
  <si>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</si>
  <si>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</si>
  <si>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</si>
  <si>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</si>
  <si>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</si>
  <si>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</si>
  <si>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</si>
  <si>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</si>
  <si>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</si>
  <si>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</si>
  <si>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</si>
  <si>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</si>
  <si>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</si>
  <si>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</si>
  <si>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</si>
  <si>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</si>
  <si>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</si>
  <si>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</si>
  <si>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</si>
  <si>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</si>
  <si>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</si>
  <si>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</si>
  <si>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</si>
  <si>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</si>
  <si>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</si>
  <si>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</si>
  <si>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</si>
  <si>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</si>
  <si>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</si>
  <si>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</si>
  <si>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</si>
  <si>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</si>
  <si>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</si>
  <si>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</si>
  <si>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</si>
  <si>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</si>
  <si>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</si>
  <si>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</si>
  <si>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</si>
  <si>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</si>
  <si>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</si>
  <si>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</si>
  <si>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</si>
  <si>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</si>
  <si>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</si>
  <si>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</si>
  <si>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</si>
  <si>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</si>
  <si>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</si>
  <si>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</si>
  <si>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</si>
  <si>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</si>
  <si>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</si>
  <si>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</si>
  <si>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</si>
  <si>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</si>
  <si>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Learn</t>
  </si>
  <si>
    <t>DCA2 *</t>
  </si>
  <si>
    <t>DCA4</t>
  </si>
  <si>
    <t>DCA4*</t>
  </si>
  <si>
    <t>DCA2*</t>
  </si>
  <si>
    <t>*</t>
  </si>
  <si>
    <t>Learn*</t>
  </si>
  <si>
    <t>Learn 1/5</t>
  </si>
  <si>
    <t>DCA5</t>
  </si>
  <si>
    <t>Ph</t>
  </si>
  <si>
    <t>Ph*</t>
  </si>
  <si>
    <t>DCA1*</t>
  </si>
  <si>
    <t>Ph 2/5</t>
  </si>
  <si>
    <t>DCA1 2/5</t>
  </si>
  <si>
    <t>Ph 3/5</t>
  </si>
  <si>
    <t>DCA2 2/5</t>
  </si>
  <si>
    <t>DCA1 3/5</t>
  </si>
  <si>
    <t>DCA2 3/5</t>
  </si>
  <si>
    <t>Ph 4/5</t>
  </si>
</sst>
</file>

<file path=xl/styles.xml><?xml version="1.0" encoding="utf-8"?>
<styleSheet xmlns="http://schemas.openxmlformats.org/spreadsheetml/2006/main">
  <numFmts count="15">
    <numFmt numFmtId="44" formatCode="_(&quot;$&quot;* #,##0.00_);_(&quot;$&quot;* \(#,##0.00\);_(&quot;$&quot;* &quot;-&quot;??_);_(@_)"/>
    <numFmt numFmtId="164" formatCode="0.0000"/>
    <numFmt numFmtId="165" formatCode="0.00000"/>
    <numFmt numFmtId="166" formatCode="_([$$-409]* #,##0.00_);_([$$-409]* \(#,##0.00\);_([$$-409]* &quot;-&quot;??_);_(@_)"/>
    <numFmt numFmtId="167" formatCode="0.0000000"/>
    <numFmt numFmtId="168" formatCode="dd/mm/yy;@"/>
    <numFmt numFmtId="169" formatCode="_(&quot;$&quot;* #,##0.000000_);_(&quot;$&quot;* \(#,##0.000000\);_(&quot;$&quot;* &quot;-&quot;??_);_(@_)"/>
    <numFmt numFmtId="170" formatCode="0.000"/>
    <numFmt numFmtId="171" formatCode="_(&quot;$&quot;* #,##0.000_);_(&quot;$&quot;* \(#,##0.000\);_(&quot;$&quot;* &quot;-&quot;??_);_(@_)"/>
    <numFmt numFmtId="172" formatCode="0.0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  <numFmt numFmtId="177" formatCode="_(&quot;$&quot;* #,##0.00000000_);_(&quot;$&quot;* \(#,##0.0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9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" fontId="0" fillId="2" borderId="0" xfId="0" applyNumberFormat="1" applyFill="1"/>
    <xf numFmtId="165" fontId="0" fillId="0" borderId="0" xfId="0" applyNumberFormat="1"/>
    <xf numFmtId="165" fontId="0" fillId="2" borderId="0" xfId="0" applyNumberFormat="1" applyFill="1"/>
    <xf numFmtId="0" fontId="0" fillId="0" borderId="0" xfId="0"/>
    <xf numFmtId="44" fontId="0" fillId="0" borderId="0" xfId="1" applyFont="1"/>
    <xf numFmtId="44" fontId="0" fillId="0" borderId="0" xfId="0" applyNumberFormat="1"/>
    <xf numFmtId="166" fontId="0" fillId="0" borderId="0" xfId="0" applyNumberFormat="1"/>
    <xf numFmtId="44" fontId="0" fillId="2" borderId="0" xfId="1" applyFont="1" applyFill="1"/>
    <xf numFmtId="166" fontId="0" fillId="2" borderId="0" xfId="0" applyNumberFormat="1" applyFill="1"/>
    <xf numFmtId="44" fontId="0" fillId="0" borderId="0" xfId="0" applyNumberFormat="1" applyAlignment="1">
      <alignment horizontal="left" vertical="top"/>
    </xf>
    <xf numFmtId="44" fontId="1" fillId="0" borderId="0" xfId="1"/>
    <xf numFmtId="167" fontId="0" fillId="0" borderId="0" xfId="0" applyNumberFormat="1"/>
    <xf numFmtId="168" fontId="0" fillId="0" borderId="0" xfId="0" applyNumberFormat="1"/>
    <xf numFmtId="169" fontId="0" fillId="0" borderId="0" xfId="1" applyNumberFormat="1" applyFont="1"/>
    <xf numFmtId="44" fontId="0" fillId="0" borderId="7" xfId="1" applyFont="1" applyBorder="1"/>
    <xf numFmtId="170" fontId="0" fillId="0" borderId="0" xfId="0" applyNumberFormat="1"/>
    <xf numFmtId="170" fontId="0" fillId="0" borderId="0" xfId="1" applyNumberFormat="1" applyFont="1"/>
    <xf numFmtId="44" fontId="0" fillId="0" borderId="5" xfId="0" applyNumberFormat="1" applyBorder="1"/>
    <xf numFmtId="166" fontId="0" fillId="0" borderId="0" xfId="2" applyNumberFormat="1" applyFont="1"/>
    <xf numFmtId="44" fontId="0" fillId="3" borderId="0" xfId="1" applyFont="1" applyFill="1"/>
    <xf numFmtId="170" fontId="0" fillId="3" borderId="0" xfId="1" applyNumberFormat="1" applyFont="1" applyFill="1"/>
    <xf numFmtId="44" fontId="0" fillId="3" borderId="5" xfId="0" applyNumberFormat="1" applyFill="1" applyBorder="1"/>
    <xf numFmtId="166" fontId="0" fillId="3" borderId="0" xfId="2" applyNumberFormat="1" applyFont="1" applyFill="1"/>
    <xf numFmtId="170" fontId="0" fillId="0" borderId="5" xfId="0" applyNumberFormat="1" applyBorder="1"/>
    <xf numFmtId="44" fontId="0" fillId="0" borderId="5" xfId="1" applyFont="1" applyBorder="1"/>
    <xf numFmtId="171" fontId="0" fillId="0" borderId="0" xfId="1" applyNumberFormat="1" applyFont="1"/>
    <xf numFmtId="172" fontId="0" fillId="0" borderId="0" xfId="0" applyNumberFormat="1"/>
    <xf numFmtId="170" fontId="0" fillId="2" borderId="0" xfId="0" applyNumberFormat="1" applyFill="1"/>
    <xf numFmtId="173" fontId="0" fillId="0" borderId="0" xfId="1" applyNumberFormat="1" applyFont="1"/>
    <xf numFmtId="173" fontId="0" fillId="0" borderId="0" xfId="0" applyNumberFormat="1"/>
    <xf numFmtId="174" fontId="0" fillId="0" borderId="0" xfId="0" applyNumberFormat="1"/>
    <xf numFmtId="174" fontId="0" fillId="2" borderId="0" xfId="0" applyNumberFormat="1" applyFill="1"/>
    <xf numFmtId="175" fontId="0" fillId="0" borderId="0" xfId="1" applyNumberFormat="1" applyFont="1"/>
    <xf numFmtId="171" fontId="0" fillId="0" borderId="0" xfId="0" applyNumberFormat="1"/>
    <xf numFmtId="175" fontId="0" fillId="0" borderId="0" xfId="0" applyNumberFormat="1"/>
    <xf numFmtId="176" fontId="0" fillId="0" borderId="0" xfId="1" applyNumberFormat="1" applyFont="1"/>
    <xf numFmtId="177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7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  <c:pt idx="203">
                  <c:v>45312</c:v>
                </c:pt>
              </c:numCache>
            </c:numRef>
          </c:cat>
          <c:val>
            <c:numRef>
              <c:f>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  <c:pt idx="201">
                  <c:v>61.82</c:v>
                </c:pt>
                <c:pt idx="202">
                  <c:v>62.55</c:v>
                </c:pt>
                <c:pt idx="203">
                  <c:v>43.31</c:v>
                </c:pt>
              </c:numCache>
            </c:numRef>
          </c:val>
        </c:ser>
        <c:ser>
          <c:idx val="1"/>
          <c:order val="1"/>
          <c:tx>
            <c:strRef>
              <c:f>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  <c:pt idx="203">
                  <c:v>45312</c:v>
                </c:pt>
              </c:numCache>
            </c:numRef>
          </c:cat>
          <c:val>
            <c:numRef>
              <c:f>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  <c:pt idx="201">
                  <c:v>12.704099999999999</c:v>
                </c:pt>
                <c:pt idx="202">
                  <c:v>12.331799999999999</c:v>
                </c:pt>
                <c:pt idx="203">
                  <c:v>6.9206999999999992</c:v>
                </c:pt>
              </c:numCache>
            </c:numRef>
          </c:val>
        </c:ser>
        <c:ser>
          <c:idx val="2"/>
          <c:order val="2"/>
          <c:tx>
            <c:strRef>
              <c:f>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  <c:pt idx="203">
                  <c:v>45312</c:v>
                </c:pt>
              </c:numCache>
            </c:numRef>
          </c:cat>
          <c:val>
            <c:numRef>
              <c:f>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  <c:pt idx="201">
                  <c:v>184.97728039391504</c:v>
                </c:pt>
                <c:pt idx="202">
                  <c:v>210.32939306997136</c:v>
                </c:pt>
                <c:pt idx="203">
                  <c:v>195.85897874315071</c:v>
                </c:pt>
              </c:numCache>
            </c:numRef>
          </c:val>
        </c:ser>
        <c:marker val="1"/>
        <c:axId val="92631040"/>
        <c:axId val="92632960"/>
      </c:lineChart>
      <c:dateAx>
        <c:axId val="92631040"/>
        <c:scaling>
          <c:orientation val="minMax"/>
        </c:scaling>
        <c:axPos val="b"/>
        <c:numFmt formatCode="dd/mm/yy;@" sourceLinked="1"/>
        <c:majorTickMark val="none"/>
        <c:tickLblPos val="nextTo"/>
        <c:crossAx val="92632960"/>
        <c:crosses val="autoZero"/>
        <c:lblOffset val="100"/>
      </c:dateAx>
      <c:valAx>
        <c:axId val="92632960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9263104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sion%20Gener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4"/>
  <sheetViews>
    <sheetView topLeftCell="A10" workbookViewId="0">
      <selection activeCell="B41" sqref="B41"/>
    </sheetView>
  </sheetViews>
  <sheetFormatPr baseColWidth="10" defaultColWidth="9.140625" defaultRowHeight="15"/>
  <cols>
    <col min="3" max="3" width="12" style="25" bestFit="1" customWidth="1"/>
    <col min="4" max="4" width="12.28515625" style="25" bestFit="1" customWidth="1"/>
    <col min="5" max="5" width="9.85546875" style="25" bestFit="1" customWidth="1"/>
    <col min="7" max="7" width="10.5703125" style="25" bestFit="1" customWidth="1"/>
    <col min="9" max="9" width="12.42578125" style="25" bestFit="1" customWidth="1"/>
    <col min="10" max="10" width="10.5703125" style="25" bestFit="1" customWidth="1"/>
    <col min="14" max="14" width="12" style="25" bestFit="1" customWidth="1"/>
    <col min="15" max="15" width="11.5703125" style="25" bestFit="1" customWidth="1"/>
    <col min="19" max="20" width="10.5703125" style="25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6">
        <v>3053.642718739231</v>
      </c>
      <c r="M3" t="s">
        <v>4</v>
      </c>
      <c r="N3" s="23">
        <f>(INDEX(N5:N25,MATCH(MAX(O6,O14),O5:O25,0))/0.85)</f>
        <v>5.464705882352941E-3</v>
      </c>
      <c r="O3" s="27">
        <f>(MAX(O6,O14)*0.75)</f>
        <v>1203.75</v>
      </c>
      <c r="P3" s="26">
        <f>(O3*N3)</f>
        <v>6.5781397058823528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6">
        <f>(B44*J3)</f>
        <v>2017.348967806176</v>
      </c>
      <c r="K4" s="4">
        <f>(J4/D44-1)</f>
        <v>0.3185296630964547</v>
      </c>
      <c r="R4" t="s">
        <v>5</v>
      </c>
      <c r="S4" t="s">
        <v>6</v>
      </c>
      <c r="T4" t="s">
        <v>7</v>
      </c>
    </row>
    <row r="5" spans="2:20">
      <c r="B5" s="23">
        <v>0.25</v>
      </c>
      <c r="C5" s="27">
        <v>4000</v>
      </c>
      <c r="D5" s="28">
        <f t="shared" ref="D5:D19" si="0">B5*C5</f>
        <v>1000</v>
      </c>
      <c r="M5" t="s">
        <v>9</v>
      </c>
      <c r="N5" t="s">
        <v>0</v>
      </c>
      <c r="O5" t="s">
        <v>1</v>
      </c>
      <c r="P5" t="s">
        <v>2</v>
      </c>
      <c r="R5" s="23">
        <f>(B5)</f>
        <v>0.25</v>
      </c>
      <c r="S5" s="27">
        <v>4000</v>
      </c>
      <c r="T5" s="28">
        <f>(R5*S5)</f>
        <v>1000</v>
      </c>
    </row>
    <row r="6" spans="2:20">
      <c r="B6" s="23">
        <v>5.9999999999999995E-4</v>
      </c>
      <c r="C6" s="27">
        <v>3950</v>
      </c>
      <c r="D6" s="28">
        <f t="shared" si="0"/>
        <v>2.3699999999999997</v>
      </c>
      <c r="M6" t="s">
        <v>10</v>
      </c>
      <c r="N6">
        <f>(-B39)</f>
        <v>4.6449999999999998E-3</v>
      </c>
      <c r="O6" s="27">
        <f>(C39)</f>
        <v>1605</v>
      </c>
      <c r="P6" s="28">
        <f>(O6*N6)</f>
        <v>7.4552249999999995</v>
      </c>
      <c r="Q6" t="s">
        <v>11</v>
      </c>
      <c r="R6" s="23">
        <f>(B6)</f>
        <v>5.9999999999999995E-4</v>
      </c>
      <c r="S6" s="27">
        <v>3950</v>
      </c>
      <c r="T6" s="28">
        <f>(R6*S6)</f>
        <v>2.3699999999999997</v>
      </c>
    </row>
    <row r="7" spans="2:20">
      <c r="B7" s="23">
        <v>3.3999999999999998E-3</v>
      </c>
      <c r="C7" s="27">
        <v>3428</v>
      </c>
      <c r="D7" s="28">
        <f t="shared" si="0"/>
        <v>11.655199999999999</v>
      </c>
      <c r="F7" t="s">
        <v>12</v>
      </c>
      <c r="G7" s="26">
        <f>(D44/B44)</f>
        <v>2315.9454081359163</v>
      </c>
      <c r="N7">
        <f>(2*($R$18+N6)/5-N6)</f>
        <v>4.6398755999999999E-2</v>
      </c>
      <c r="O7" s="27">
        <f>($S$18*[1]Params!K16)</f>
        <v>3546.9993613598217</v>
      </c>
      <c r="P7" s="28">
        <f>(O7*N7)</f>
        <v>164.57635789989018</v>
      </c>
      <c r="R7" s="23">
        <f>(B7)</f>
        <v>3.3999999999999998E-3</v>
      </c>
      <c r="S7" s="27">
        <v>3428</v>
      </c>
      <c r="T7" s="28">
        <f>(R7*S7)</f>
        <v>11.655199999999999</v>
      </c>
    </row>
    <row r="8" spans="2:20">
      <c r="B8" s="23">
        <v>-7.6E-3</v>
      </c>
      <c r="C8" s="26">
        <v>3216.89</v>
      </c>
      <c r="D8" s="28">
        <f t="shared" si="0"/>
        <v>-24.448363999999998</v>
      </c>
      <c r="N8">
        <f>($B$35/5)</f>
        <v>2.5521877999999998E-2</v>
      </c>
      <c r="O8" s="27">
        <f>($S$18*[1]Params!K17)</f>
        <v>7093.9987227196434</v>
      </c>
      <c r="P8" s="28">
        <f>(O8*N8)</f>
        <v>181.05216993340656</v>
      </c>
      <c r="R8" s="23">
        <f>(B11+B10+B9+B8)</f>
        <v>1.5000000000000005E-3</v>
      </c>
      <c r="S8" s="26">
        <v>0</v>
      </c>
      <c r="T8" s="28">
        <f>(D11+D10+D9+D8)</f>
        <v>-0.15687200000000345</v>
      </c>
    </row>
    <row r="9" spans="2:20">
      <c r="B9" s="23">
        <v>-7.6E-3</v>
      </c>
      <c r="C9" s="26">
        <v>3214.67</v>
      </c>
      <c r="D9" s="28">
        <f t="shared" si="0"/>
        <v>-24.431492000000002</v>
      </c>
      <c r="N9">
        <f>($B$35/5)</f>
        <v>2.5521877999999998E-2</v>
      </c>
      <c r="O9" s="27">
        <f>($S$18*[1]Params!K18)</f>
        <v>14187.997445439287</v>
      </c>
      <c r="P9" s="28">
        <f>(O9*N9)</f>
        <v>362.10433986681312</v>
      </c>
      <c r="R9" s="23">
        <f>(B12)</f>
        <v>7.4073100000000003E-3</v>
      </c>
      <c r="S9" s="26">
        <v>0</v>
      </c>
      <c r="T9" s="28">
        <f>(R9*S9)</f>
        <v>0</v>
      </c>
    </row>
    <row r="10" spans="2:20">
      <c r="B10" s="23">
        <v>-7.6E-3</v>
      </c>
      <c r="C10" s="26">
        <v>3213.16</v>
      </c>
      <c r="D10" s="28">
        <f t="shared" si="0"/>
        <v>-24.420016</v>
      </c>
      <c r="R10" s="23">
        <f>(SUM(B13:B20))</f>
        <v>1.6904289999999999E-2</v>
      </c>
      <c r="S10" s="27">
        <f>(T10/R10)</f>
        <v>267.31751240569082</v>
      </c>
      <c r="T10" s="28">
        <f>(SUM(D13:D20))</f>
        <v>4.5188127517843952</v>
      </c>
    </row>
    <row r="11" spans="2:20">
      <c r="B11" s="23">
        <v>2.4299999999999999E-2</v>
      </c>
      <c r="C11" s="27">
        <v>3010</v>
      </c>
      <c r="D11" s="28">
        <f t="shared" si="0"/>
        <v>73.143000000000001</v>
      </c>
      <c r="I11" t="s">
        <v>10</v>
      </c>
      <c r="J11">
        <v>0.6</v>
      </c>
      <c r="P11" s="28">
        <f>(SUM(P6:P9))</f>
        <v>715.18809270010991</v>
      </c>
      <c r="R11" s="23">
        <f>(B21)</f>
        <v>0.01</v>
      </c>
      <c r="S11" s="27">
        <v>1895</v>
      </c>
      <c r="T11" s="28">
        <f>(R11*S11)</f>
        <v>18.95</v>
      </c>
    </row>
    <row r="12" spans="2:20">
      <c r="B12" s="24">
        <v>7.4073100000000003E-3</v>
      </c>
      <c r="C12" s="29">
        <v>0</v>
      </c>
      <c r="D12" s="30">
        <f t="shared" si="0"/>
        <v>0</v>
      </c>
      <c r="E12" s="26">
        <f>(B12*J3)</f>
        <v>22.619278246944294</v>
      </c>
      <c r="I12" t="s">
        <v>13</v>
      </c>
      <c r="J12">
        <f>(J11-B44)</f>
        <v>-6.0636870000000065E-2</v>
      </c>
      <c r="R12" s="23">
        <f>(B22)</f>
        <v>0.01</v>
      </c>
      <c r="S12" s="27">
        <v>1890.15</v>
      </c>
      <c r="T12" s="28">
        <f>(R12*S12)</f>
        <v>18.901500000000002</v>
      </c>
    </row>
    <row r="13" spans="2:20">
      <c r="B13" s="23">
        <v>-8.0000000000000002E-3</v>
      </c>
      <c r="C13" s="26">
        <v>2340</v>
      </c>
      <c r="D13" s="28">
        <f t="shared" si="0"/>
        <v>-18.72</v>
      </c>
      <c r="I13" t="s">
        <v>14</v>
      </c>
      <c r="J13" s="26">
        <f>(J12*J3)</f>
        <v>-185.16333656263751</v>
      </c>
      <c r="M13" t="s">
        <v>15</v>
      </c>
      <c r="N13" t="s">
        <v>0</v>
      </c>
      <c r="O13" t="s">
        <v>1</v>
      </c>
      <c r="P13" t="s">
        <v>2</v>
      </c>
      <c r="R13" s="23">
        <f>(B23)</f>
        <v>4.9950000000000001E-2</v>
      </c>
      <c r="S13" s="27">
        <f>(T13/R13)</f>
        <v>1643.6436436436434</v>
      </c>
      <c r="T13" s="28">
        <f>(82.1)</f>
        <v>82.1</v>
      </c>
    </row>
    <row r="14" spans="2:20">
      <c r="B14" s="23">
        <v>-0.01</v>
      </c>
      <c r="C14" s="26">
        <v>2263</v>
      </c>
      <c r="D14" s="28">
        <f t="shared" si="0"/>
        <v>-22.63</v>
      </c>
      <c r="M14" t="s">
        <v>10</v>
      </c>
      <c r="N14">
        <f>(-B38)</f>
        <v>7.0500000000000001E-4</v>
      </c>
      <c r="O14" s="27">
        <f>(C38)</f>
        <v>1605</v>
      </c>
      <c r="P14" s="28">
        <f>(O14*N14)</f>
        <v>1.1315250000000001</v>
      </c>
      <c r="Q14" t="s">
        <v>11</v>
      </c>
      <c r="R14" s="23">
        <f>(B24)</f>
        <v>0.01</v>
      </c>
      <c r="S14" s="27">
        <v>1709</v>
      </c>
      <c r="T14" s="28">
        <f>(S14*R14)</f>
        <v>17.09</v>
      </c>
    </row>
    <row r="15" spans="2:20">
      <c r="B15" s="23">
        <v>-8.9999999999999993E-3</v>
      </c>
      <c r="C15" s="26">
        <v>2114</v>
      </c>
      <c r="D15" s="28">
        <f t="shared" si="0"/>
        <v>-19.026</v>
      </c>
      <c r="N15">
        <f>(2*($R$19+N14)/5-N14)</f>
        <v>9.5288439999999999E-3</v>
      </c>
      <c r="O15" s="27">
        <f>($S$19*[1]Params!K16)</f>
        <v>3585.653171412253</v>
      </c>
      <c r="P15" s="28">
        <f>(O15*N15)</f>
        <v>34.167129708492617</v>
      </c>
      <c r="R15" s="23">
        <f>(B25)</f>
        <v>0.01</v>
      </c>
      <c r="S15" s="27">
        <v>1617.3</v>
      </c>
      <c r="T15" s="28">
        <f>(S15*R15)</f>
        <v>16.172999999999998</v>
      </c>
    </row>
    <row r="16" spans="2:20">
      <c r="B16" s="23">
        <v>-8.0000000000000002E-3</v>
      </c>
      <c r="C16" s="26">
        <v>2027.47</v>
      </c>
      <c r="D16" s="28">
        <f t="shared" si="0"/>
        <v>-16.219760000000001</v>
      </c>
      <c r="N16">
        <f>($B$36/5)</f>
        <v>5.1169220000000003E-3</v>
      </c>
      <c r="O16" s="27">
        <f>($S$19*[1]Params!K17)</f>
        <v>7171.3063428245059</v>
      </c>
      <c r="P16" s="28">
        <f>(O16*N16)</f>
        <v>36.695015194338261</v>
      </c>
      <c r="R16" s="23">
        <f>(SUM(B26:B33))</f>
        <v>0</v>
      </c>
      <c r="S16" s="26">
        <v>0</v>
      </c>
      <c r="T16" s="28">
        <f>(SUM(D26:D33))</f>
        <v>-1.1127000000000002</v>
      </c>
    </row>
    <row r="17" spans="2:21">
      <c r="B17" s="23">
        <v>-8.2000000000000007E-3</v>
      </c>
      <c r="C17" s="26">
        <v>1961</v>
      </c>
      <c r="D17" s="28">
        <f t="shared" si="0"/>
        <v>-16.080200000000001</v>
      </c>
      <c r="N17">
        <f>($B$36/5)</f>
        <v>5.1169220000000003E-3</v>
      </c>
      <c r="O17" s="27">
        <f>($S$19*[1]Params!K18)</f>
        <v>14342.612685649012</v>
      </c>
      <c r="P17" s="28">
        <f>(O17*N17)</f>
        <v>73.390030388676522</v>
      </c>
      <c r="R17" s="23">
        <f>(B34)</f>
        <v>-0.01</v>
      </c>
      <c r="S17" s="26">
        <f>(T17/R17)</f>
        <v>1219.326523</v>
      </c>
      <c r="T17" s="28">
        <v>-12.19326523</v>
      </c>
    </row>
    <row r="18" spans="2:21">
      <c r="B18" s="23">
        <v>1.6E-2</v>
      </c>
      <c r="C18" s="27">
        <f>1/0.00048218</f>
        <v>2073.9143058608815</v>
      </c>
      <c r="D18" s="28">
        <f t="shared" si="0"/>
        <v>33.182628893774108</v>
      </c>
      <c r="R18" s="23">
        <f>(B35+B39)</f>
        <v>0.12296438999999999</v>
      </c>
      <c r="S18" s="27">
        <f>(T18/R18)</f>
        <v>1773.4996806799109</v>
      </c>
      <c r="T18" s="28">
        <f>(D35+1283.68*B39)</f>
        <v>218.0773064</v>
      </c>
      <c r="U18" t="s">
        <v>9</v>
      </c>
    </row>
    <row r="19" spans="2:21">
      <c r="B19" s="23">
        <v>1.2E-2</v>
      </c>
      <c r="C19" s="27">
        <f>1/0.0008564</f>
        <v>1167.6786548341897</v>
      </c>
      <c r="D19" s="28">
        <f t="shared" si="0"/>
        <v>14.012143858010276</v>
      </c>
      <c r="P19" s="28">
        <f>(SUM(P14:P17))</f>
        <v>145.38370029150741</v>
      </c>
      <c r="R19" s="23">
        <f>(B36+B38)</f>
        <v>2.487961E-2</v>
      </c>
      <c r="S19" s="27">
        <f>(T19/R19)</f>
        <v>1792.8265857061265</v>
      </c>
      <c r="T19" s="28">
        <f>(D36+1269.75*B38)</f>
        <v>44.604826250000002</v>
      </c>
      <c r="U19" t="s">
        <v>15</v>
      </c>
    </row>
    <row r="20" spans="2:21">
      <c r="B20" s="23">
        <v>3.2104290000000001E-2</v>
      </c>
      <c r="C20" s="27">
        <f>D20/B20</f>
        <v>1557.4242570073968</v>
      </c>
      <c r="D20" s="28">
        <v>50</v>
      </c>
      <c r="R20" s="23">
        <f>(B37)</f>
        <v>4.1228E-4</v>
      </c>
      <c r="S20" s="27">
        <f>(C37)</f>
        <v>1212.7680217328029</v>
      </c>
      <c r="T20" s="28">
        <f>(D37)</f>
        <v>0.5</v>
      </c>
    </row>
    <row r="21" spans="2:21">
      <c r="B21" s="23">
        <v>0.01</v>
      </c>
      <c r="C21" s="27">
        <v>1895</v>
      </c>
      <c r="D21" s="28">
        <f>B21*C21</f>
        <v>18.95</v>
      </c>
      <c r="M21" t="s">
        <v>16</v>
      </c>
      <c r="N21" t="s">
        <v>0</v>
      </c>
      <c r="O21" t="s">
        <v>1</v>
      </c>
      <c r="P21" t="s">
        <v>2</v>
      </c>
      <c r="R21" s="23">
        <f>(B38-B38)</f>
        <v>0</v>
      </c>
      <c r="S21" s="26">
        <v>0</v>
      </c>
      <c r="T21" s="28">
        <f>(1269.75*-B38+D38)</f>
        <v>-0.23635125000000012</v>
      </c>
      <c r="U21" t="s">
        <v>17</v>
      </c>
    </row>
    <row r="22" spans="2:21">
      <c r="B22" s="23">
        <v>0.01</v>
      </c>
      <c r="C22" s="27">
        <v>1890.15</v>
      </c>
      <c r="D22" s="28">
        <f>B22*C22</f>
        <v>18.901500000000002</v>
      </c>
      <c r="M22" t="s">
        <v>10</v>
      </c>
      <c r="N22">
        <f>($R$23/5)</f>
        <v>1.1606738E-2</v>
      </c>
      <c r="O22" s="27">
        <f>($S$23*[1]Params!K15)</f>
        <v>2849.6378569069107</v>
      </c>
      <c r="P22" s="28">
        <f>(O22*N22)</f>
        <v>33.075000000000003</v>
      </c>
      <c r="R22" s="23">
        <f>(B39-B39)</f>
        <v>0</v>
      </c>
      <c r="S22" s="26">
        <v>0</v>
      </c>
      <c r="T22" s="28">
        <f>(1283.68*-B39+D39)</f>
        <v>-1.4925313999999998</v>
      </c>
      <c r="U22" t="s">
        <v>18</v>
      </c>
    </row>
    <row r="23" spans="2:21">
      <c r="B23" s="23">
        <f>0.05-0.00005</f>
        <v>4.9950000000000001E-2</v>
      </c>
      <c r="C23" s="27">
        <f>D23/B23</f>
        <v>1643.6436436436434</v>
      </c>
      <c r="D23" s="28">
        <f>82.1</f>
        <v>82.1</v>
      </c>
      <c r="N23">
        <f>($R$23/5)</f>
        <v>1.1606738E-2</v>
      </c>
      <c r="O23" s="27">
        <f>($S$23*[1]Params!K16)</f>
        <v>3799.5171425425474</v>
      </c>
      <c r="P23" s="28">
        <f>(O23*N23)</f>
        <v>44.1</v>
      </c>
      <c r="R23" s="23">
        <f>(B40)</f>
        <v>5.8033689999999999E-2</v>
      </c>
      <c r="S23" s="27">
        <f>(T23/R23)</f>
        <v>1899.7585712712737</v>
      </c>
      <c r="T23" s="28">
        <f>(D40)</f>
        <v>110.25</v>
      </c>
      <c r="U23" t="s">
        <v>16</v>
      </c>
    </row>
    <row r="24" spans="2:21">
      <c r="B24" s="23">
        <v>0.01</v>
      </c>
      <c r="C24" s="27">
        <v>1709</v>
      </c>
      <c r="D24" s="28">
        <f>C24*B24</f>
        <v>17.09</v>
      </c>
      <c r="N24">
        <f>($R$23/5)</f>
        <v>1.1606738E-2</v>
      </c>
      <c r="O24" s="27">
        <f>($S$23*[1]Params!K17)</f>
        <v>7599.0342850850948</v>
      </c>
      <c r="P24" s="28">
        <f>(O24*N24)</f>
        <v>88.2</v>
      </c>
      <c r="R24" s="23">
        <f>B41</f>
        <v>3.7960000000000077E-4</v>
      </c>
      <c r="S24" s="27">
        <f>(T24/R24)</f>
        <v>0</v>
      </c>
      <c r="T24" s="28">
        <f>D41</f>
        <v>0</v>
      </c>
    </row>
    <row r="25" spans="2:21">
      <c r="B25" s="23">
        <v>0.01</v>
      </c>
      <c r="C25" s="27">
        <v>1617.3</v>
      </c>
      <c r="D25" s="28">
        <f>(C25*B25)</f>
        <v>16.172999999999998</v>
      </c>
      <c r="N25">
        <f>($R$23/5)</f>
        <v>1.1606738E-2</v>
      </c>
      <c r="O25" s="27">
        <f>($S$23*[1]Params!K18)</f>
        <v>15198.06857017019</v>
      </c>
      <c r="P25" s="28">
        <f>(O25*N25)</f>
        <v>176.4</v>
      </c>
    </row>
    <row r="26" spans="2:21">
      <c r="B26" s="23">
        <v>-0.01</v>
      </c>
      <c r="C26" s="26">
        <v>1530</v>
      </c>
      <c r="D26" s="28">
        <f>(C26*B26)</f>
        <v>-15.3</v>
      </c>
    </row>
    <row r="27" spans="2:21">
      <c r="B27" s="23">
        <v>0.01</v>
      </c>
      <c r="C27" s="27">
        <v>1500</v>
      </c>
      <c r="D27" s="28">
        <f>(C27*B27)</f>
        <v>15</v>
      </c>
      <c r="P27" s="28">
        <f>(SUM(P22:P25))</f>
        <v>341.77499999999998</v>
      </c>
    </row>
    <row r="28" spans="2:21">
      <c r="B28" s="23">
        <v>-0.01</v>
      </c>
      <c r="C28" s="26">
        <f>(D28/B28)</f>
        <v>1443</v>
      </c>
      <c r="D28" s="28">
        <v>-14.43</v>
      </c>
    </row>
    <row r="29" spans="2:21">
      <c r="B29" s="23">
        <v>0.01</v>
      </c>
      <c r="C29" s="27">
        <v>1428.89</v>
      </c>
      <c r="D29" s="28">
        <f>(C29*B29)</f>
        <v>14.288900000000002</v>
      </c>
    </row>
    <row r="30" spans="2:21">
      <c r="B30" s="23">
        <v>-0.01</v>
      </c>
      <c r="C30" s="26">
        <v>1402.5</v>
      </c>
      <c r="D30" s="28">
        <f>(C30*B30)</f>
        <v>-14.025</v>
      </c>
    </row>
    <row r="31" spans="2:21">
      <c r="B31" s="23">
        <v>0.01</v>
      </c>
      <c r="C31" s="27">
        <v>1372</v>
      </c>
      <c r="D31" s="28">
        <f>(C31*B31)</f>
        <v>13.72</v>
      </c>
    </row>
    <row r="32" spans="2:21">
      <c r="B32" s="23">
        <v>-0.01</v>
      </c>
      <c r="C32" s="26">
        <v>1286.6600000000001</v>
      </c>
      <c r="D32" s="28">
        <f>(C32*B32)</f>
        <v>-12.866600000000002</v>
      </c>
      <c r="R32">
        <f>(SUM(R5:R31))</f>
        <v>0.56643117000000009</v>
      </c>
      <c r="T32" s="28">
        <f>(SUM(T5:T31))</f>
        <v>1529.9989255217843</v>
      </c>
    </row>
    <row r="33" spans="2:7">
      <c r="B33" s="23">
        <v>0.01</v>
      </c>
      <c r="C33" s="27">
        <v>1250</v>
      </c>
      <c r="D33" s="28">
        <f>(C33*B33)</f>
        <v>12.5</v>
      </c>
    </row>
    <row r="34" spans="2:7">
      <c r="B34" s="23">
        <v>-0.01</v>
      </c>
      <c r="C34" s="26">
        <f>(D34/B34)</f>
        <v>1219.326523</v>
      </c>
      <c r="D34" s="28">
        <v>-12.19326523</v>
      </c>
    </row>
    <row r="35" spans="2:7">
      <c r="B35" s="23">
        <v>0.12760938999999999</v>
      </c>
      <c r="C35" s="27">
        <f>(D35/B35)</f>
        <v>1755.6701744283866</v>
      </c>
      <c r="D35" s="28">
        <v>224.04</v>
      </c>
      <c r="E35" t="s">
        <v>9</v>
      </c>
    </row>
    <row r="36" spans="2:7">
      <c r="B36" s="23">
        <v>2.5584610000000001E-2</v>
      </c>
      <c r="C36" s="27">
        <f>(D36/B36)</f>
        <v>1778.4128818066799</v>
      </c>
      <c r="D36" s="28">
        <v>45.5</v>
      </c>
      <c r="E36" t="s">
        <v>15</v>
      </c>
    </row>
    <row r="37" spans="2:7">
      <c r="B37" s="23">
        <v>4.1228E-4</v>
      </c>
      <c r="C37" s="27">
        <f>(D37/B37)</f>
        <v>1212.7680217328029</v>
      </c>
      <c r="D37" s="28">
        <v>0.5</v>
      </c>
    </row>
    <row r="38" spans="2:7">
      <c r="B38" s="23">
        <f>(-0.000705)</f>
        <v>-7.0500000000000001E-4</v>
      </c>
      <c r="C38" s="26">
        <v>1605</v>
      </c>
      <c r="D38" s="28">
        <f>(C38*B38)</f>
        <v>-1.1315250000000001</v>
      </c>
    </row>
    <row r="39" spans="2:7">
      <c r="B39" s="23">
        <f>(-0.00535-B38)</f>
        <v>-4.6449999999999998E-3</v>
      </c>
      <c r="C39" s="26">
        <v>1605</v>
      </c>
      <c r="D39" s="28">
        <f>(C39*B39)</f>
        <v>-7.4552249999999995</v>
      </c>
    </row>
    <row r="40" spans="2:7">
      <c r="B40" s="23">
        <v>5.8033689999999999E-2</v>
      </c>
      <c r="C40" s="27">
        <f>(D40/B40)</f>
        <v>1899.7585712712737</v>
      </c>
      <c r="D40" s="28">
        <v>110.25</v>
      </c>
      <c r="E40" t="s">
        <v>16</v>
      </c>
    </row>
    <row r="41" spans="2:7">
      <c r="B41" s="23">
        <f>0.0203796-0.02</f>
        <v>3.7960000000000077E-4</v>
      </c>
      <c r="C41" s="27">
        <v>0</v>
      </c>
      <c r="D41" s="28">
        <v>0</v>
      </c>
      <c r="E41" s="31" t="s">
        <v>19</v>
      </c>
    </row>
    <row r="42" spans="2:7">
      <c r="B42" s="23">
        <f>0.0943*0.999</f>
        <v>9.4205699999999989E-2</v>
      </c>
      <c r="C42" s="27">
        <v>0</v>
      </c>
      <c r="D42" s="28">
        <v>0</v>
      </c>
      <c r="E42" s="31" t="s">
        <v>19</v>
      </c>
      <c r="F42">
        <v>0.52980000000000005</v>
      </c>
    </row>
    <row r="43" spans="2:7">
      <c r="F43" t="s">
        <v>12</v>
      </c>
      <c r="G43" s="27">
        <f>D44/B44</f>
        <v>2315.9454081359163</v>
      </c>
    </row>
    <row r="44" spans="2:7">
      <c r="B44">
        <f>(SUM(B5:B43))</f>
        <v>0.66063687000000004</v>
      </c>
      <c r="D44" s="28">
        <f>(SUM(D5:D43))</f>
        <v>1529.9989255217843</v>
      </c>
    </row>
  </sheetData>
  <conditionalFormatting sqref="C5:C7 C11 C18:C25 C27 C29 C31 C33 C35:C37 C40 G43 O3 O7:O9 O15:O17 O22:O25 S5:S7 S10:S15 S18:S20 S23:S24">
    <cfRule type="cellIs" dxfId="277" priority="39" operator="lessThan">
      <formula>$J$3</formula>
    </cfRule>
    <cfRule type="cellIs" dxfId="276" priority="40" operator="greaterThan">
      <formula>$J$3</formula>
    </cfRule>
  </conditionalFormatting>
  <conditionalFormatting sqref="O3">
    <cfRule type="cellIs" dxfId="275" priority="1" operator="greaterThan">
      <formula>$J$3</formula>
    </cfRule>
    <cfRule type="cellIs" dxfId="274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B2:T21"/>
  <sheetViews>
    <sheetView workbookViewId="0">
      <selection activeCell="U12" sqref="U12"/>
    </sheetView>
  </sheetViews>
  <sheetFormatPr baseColWidth="10" defaultColWidth="9.140625" defaultRowHeight="15"/>
  <cols>
    <col min="3" max="3" width="10" style="25" bestFit="1" customWidth="1"/>
    <col min="4" max="4" width="10.28515625" style="25" bestFit="1" customWidth="1"/>
    <col min="7" max="7" width="10" style="25" bestFit="1" customWidth="1"/>
    <col min="9" max="9" width="12.42578125" style="25" bestFit="1" customWidth="1"/>
    <col min="10" max="10" width="10" style="25" bestFit="1" customWidth="1"/>
    <col min="14" max="14" width="10.140625" style="25" bestFit="1" customWidth="1"/>
    <col min="15" max="15" width="11.28515625" style="25" bestFit="1" customWidth="1"/>
    <col min="19" max="19" width="10" style="25" bestFit="1" customWidth="1"/>
    <col min="20" max="20" width="10.28515625" style="25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50">
        <v>4.8056676109501061E-3</v>
      </c>
      <c r="M3" t="s">
        <v>4</v>
      </c>
      <c r="N3" s="23">
        <f>(INDEX(N5:N18,MATCH(MAX(O6),O5:O18,0))/0.85)</f>
        <v>216.71826625882355</v>
      </c>
      <c r="O3" s="51">
        <f>(MAX(O6)*0.75)</f>
        <v>3.3442510713521311E-3</v>
      </c>
      <c r="P3" s="26">
        <f>(O3*N3)</f>
        <v>0.72476029411764709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7">
        <f>(B15*J3)</f>
        <v>2.797988434235064</v>
      </c>
      <c r="K4" s="4">
        <f>(J4/D15-1)</f>
        <v>1.8445913747272193</v>
      </c>
      <c r="R4" t="s">
        <v>5</v>
      </c>
      <c r="S4" t="s">
        <v>6</v>
      </c>
      <c r="T4" t="s">
        <v>7</v>
      </c>
    </row>
    <row r="5" spans="2:20">
      <c r="B5" s="18">
        <v>883.65</v>
      </c>
      <c r="C5" s="50">
        <f t="shared" ref="C5:C13" si="0">(D5/B5)</f>
        <v>3.3950093362756749E-3</v>
      </c>
      <c r="D5" s="26">
        <v>3</v>
      </c>
      <c r="E5" t="s">
        <v>78</v>
      </c>
      <c r="N5" t="s">
        <v>30</v>
      </c>
      <c r="O5" t="s">
        <v>1</v>
      </c>
      <c r="P5" t="s">
        <v>2</v>
      </c>
      <c r="R5" s="18">
        <f>(B5)</f>
        <v>883.65</v>
      </c>
      <c r="S5" s="50">
        <f>(T5/R5)</f>
        <v>3.3950093362756749E-3</v>
      </c>
      <c r="T5" s="27">
        <f>(D5)</f>
        <v>3</v>
      </c>
    </row>
    <row r="6" spans="2:20">
      <c r="B6" s="18">
        <v>-170.21276596000001</v>
      </c>
      <c r="C6" s="50">
        <f t="shared" si="0"/>
        <v>4.5729766249314055E-3</v>
      </c>
      <c r="D6" s="26">
        <v>-0.77837900000000004</v>
      </c>
      <c r="M6" t="s">
        <v>10</v>
      </c>
      <c r="N6" s="18">
        <f>-B12</f>
        <v>184.21052632000001</v>
      </c>
      <c r="O6" s="50">
        <f>P6/N6</f>
        <v>4.4590014284695079E-3</v>
      </c>
      <c r="P6" s="26">
        <f>-D12</f>
        <v>0.82139499999999999</v>
      </c>
      <c r="Q6" t="s">
        <v>11</v>
      </c>
      <c r="R6" s="18">
        <f>(SUM(B6:B11))</f>
        <v>71.63623869999995</v>
      </c>
      <c r="S6" s="50">
        <v>0</v>
      </c>
      <c r="T6" s="27">
        <f>(SUM(D6:D11))</f>
        <v>-0.16783900000000007</v>
      </c>
    </row>
    <row r="7" spans="2:20">
      <c r="B7" s="18">
        <v>-175.57251908000001</v>
      </c>
      <c r="C7" s="50">
        <f t="shared" si="0"/>
        <v>5.0894468262020218E-3</v>
      </c>
      <c r="D7" s="26">
        <v>-0.893567</v>
      </c>
      <c r="N7" s="18">
        <f>-B13</f>
        <v>188.84892085999999</v>
      </c>
      <c r="O7" s="50">
        <f>($C$5*[1]Params!K9)</f>
        <v>5.4320149380410803E-3</v>
      </c>
      <c r="P7" s="26">
        <f>-D13</f>
        <v>1.0271490000000001</v>
      </c>
      <c r="Q7" t="s">
        <v>11</v>
      </c>
      <c r="R7" s="18">
        <f>B12</f>
        <v>-184.21052632000001</v>
      </c>
      <c r="S7" s="50">
        <f>T7/R7</f>
        <v>4.4590014284695079E-3</v>
      </c>
      <c r="T7" s="27">
        <f>D12</f>
        <v>-0.82139499999999999</v>
      </c>
    </row>
    <row r="8" spans="2:20">
      <c r="B8" s="18">
        <v>-167.78523490000001</v>
      </c>
      <c r="C8" s="50">
        <f t="shared" si="0"/>
        <v>7.2337771599710653E-3</v>
      </c>
      <c r="D8" s="26">
        <v>-1.213721</v>
      </c>
      <c r="N8" s="18">
        <f>($B$15/3)</f>
        <v>194.07559717333334</v>
      </c>
      <c r="O8" s="50">
        <f>($C$5*[1]Params!K10)</f>
        <v>7.4690205398064849E-3</v>
      </c>
      <c r="P8" s="26">
        <f>(O8*N8)</f>
        <v>1.4495546215628361</v>
      </c>
      <c r="R8" s="18">
        <f>B13</f>
        <v>-188.84892085999999</v>
      </c>
      <c r="S8" s="50">
        <f>T8/R8</f>
        <v>5.4389985143810269E-3</v>
      </c>
      <c r="T8" s="27">
        <f>D13</f>
        <v>-1.0271490000000001</v>
      </c>
    </row>
    <row r="9" spans="2:20">
      <c r="B9" s="18">
        <v>196.03891277</v>
      </c>
      <c r="C9" s="50">
        <f t="shared" si="0"/>
        <v>5.7642178485542315E-3</v>
      </c>
      <c r="D9" s="26">
        <v>1.1300110000000001</v>
      </c>
      <c r="N9" s="18">
        <f>($B$15/3)</f>
        <v>194.07559717333334</v>
      </c>
      <c r="O9" s="50">
        <f>($C$5*[1]Params!K11)</f>
        <v>1.6975046681378374E-2</v>
      </c>
      <c r="P9" s="26">
        <f>(O9*N9)</f>
        <v>3.2944423217337184</v>
      </c>
    </row>
    <row r="10" spans="2:20">
      <c r="B10" s="18">
        <v>197.79050007999999</v>
      </c>
      <c r="C10" s="50">
        <f t="shared" si="0"/>
        <v>4.2977797197346571E-3</v>
      </c>
      <c r="D10" s="26">
        <v>0.85006000000000004</v>
      </c>
    </row>
    <row r="11" spans="2:20">
      <c r="B11" s="18">
        <v>191.37734578999999</v>
      </c>
      <c r="C11" s="50">
        <f t="shared" si="0"/>
        <v>3.8549860588491342E-3</v>
      </c>
      <c r="D11" s="26">
        <v>0.737757</v>
      </c>
      <c r="P11" s="26">
        <f>(SUM(P6:P9))</f>
        <v>6.5925409432965552</v>
      </c>
    </row>
    <row r="12" spans="2:20">
      <c r="B12" s="18">
        <v>-184.21052632000001</v>
      </c>
      <c r="C12" s="50">
        <f t="shared" si="0"/>
        <v>4.4590014284695079E-3</v>
      </c>
      <c r="D12" s="26">
        <v>-0.82139499999999999</v>
      </c>
    </row>
    <row r="13" spans="2:20">
      <c r="B13" s="18">
        <v>-188.84892085999999</v>
      </c>
      <c r="C13" s="50">
        <f t="shared" si="0"/>
        <v>5.4389985143810269E-3</v>
      </c>
      <c r="D13" s="26">
        <v>-1.0271490000000001</v>
      </c>
    </row>
    <row r="14" spans="2:20">
      <c r="F14" t="s">
        <v>12</v>
      </c>
      <c r="G14" s="50">
        <f>(D15/B15)</f>
        <v>1.6894052529463719E-3</v>
      </c>
    </row>
    <row r="15" spans="2:20">
      <c r="B15">
        <f>(SUM(B5:B14))</f>
        <v>582.22679152000001</v>
      </c>
      <c r="D15" s="27">
        <f>(SUM(D5:D14))</f>
        <v>0.98361700000000019</v>
      </c>
    </row>
    <row r="17" spans="11:20">
      <c r="R17">
        <f>(SUM(R5:R16))</f>
        <v>582.22679151999989</v>
      </c>
      <c r="T17" s="27">
        <f>(SUM(T5:T16))</f>
        <v>0.98361700000000019</v>
      </c>
    </row>
    <row r="21" spans="11:20">
      <c r="K21" s="27"/>
    </row>
  </sheetData>
  <conditionalFormatting sqref="C5">
    <cfRule type="cellIs" dxfId="223" priority="19" operator="lessThan">
      <formula>$J$3</formula>
    </cfRule>
    <cfRule type="cellIs" dxfId="222" priority="20" operator="greaterThan">
      <formula>$J$3</formula>
    </cfRule>
  </conditionalFormatting>
  <conditionalFormatting sqref="C9:C11 G14 O8:O9 S5">
    <cfRule type="cellIs" dxfId="221" priority="15" operator="lessThan">
      <formula>$J$3</formula>
    </cfRule>
    <cfRule type="cellIs" dxfId="220" priority="16" operator="greaterThan">
      <formula>$J$3</formula>
    </cfRule>
    <cfRule type="cellIs" dxfId="219" priority="17" operator="lessThan">
      <formula>$J$3</formula>
    </cfRule>
    <cfRule type="cellIs" dxfId="218" priority="18" operator="greaterThan">
      <formula>$J$3</formula>
    </cfRule>
  </conditionalFormatting>
  <conditionalFormatting sqref="O3">
    <cfRule type="cellIs" dxfId="217" priority="1" operator="greaterThan">
      <formula>$J$3</formula>
    </cfRule>
    <cfRule type="cellIs" dxfId="216" priority="2" operator="less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R7" sqref="R7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3" spans="2:21">
      <c r="I3" t="s">
        <v>3</v>
      </c>
      <c r="J3" s="26">
        <v>1.8326257590044199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32.239701528142533</v>
      </c>
      <c r="K4" s="4">
        <f>(J4/D14-1)</f>
        <v>-0.28847045206214128</v>
      </c>
      <c r="R4" t="s">
        <v>5</v>
      </c>
      <c r="S4" t="s">
        <v>6</v>
      </c>
      <c r="T4" t="s">
        <v>7</v>
      </c>
    </row>
    <row r="5" spans="2:21">
      <c r="B5" s="37">
        <v>16.92480436</v>
      </c>
      <c r="C5" s="26">
        <f>(D5/B5)</f>
        <v>2.688361946891066</v>
      </c>
      <c r="D5" s="26">
        <v>45.5</v>
      </c>
      <c r="E5" t="s">
        <v>15</v>
      </c>
      <c r="M5" t="s">
        <v>15</v>
      </c>
      <c r="N5" t="s">
        <v>30</v>
      </c>
      <c r="O5" t="s">
        <v>1</v>
      </c>
      <c r="P5" t="s">
        <v>2</v>
      </c>
      <c r="R5" s="19">
        <f>(B6)</f>
        <v>0.60133530000000002</v>
      </c>
      <c r="S5" s="29">
        <v>0</v>
      </c>
      <c r="T5" s="30">
        <f>(D6)</f>
        <v>0</v>
      </c>
      <c r="U5" s="26">
        <f>(R5*J3)</f>
        <v>1.1020225605786507</v>
      </c>
    </row>
    <row r="6" spans="2:21">
      <c r="B6" s="49">
        <v>0.60133530000000002</v>
      </c>
      <c r="C6" s="29">
        <v>0</v>
      </c>
      <c r="D6" s="30">
        <f>(B6*C6)</f>
        <v>0</v>
      </c>
      <c r="E6" s="26">
        <f>(B6*J3)</f>
        <v>1.1020225605786507</v>
      </c>
      <c r="M6" t="s">
        <v>10</v>
      </c>
      <c r="N6" s="37">
        <f>(SUM(R5:R7)/5)</f>
        <v>3.5184162799999994</v>
      </c>
      <c r="O6" s="26">
        <f>($C$5*[1]Params!K8)</f>
        <v>3.4948705309583858</v>
      </c>
      <c r="P6" s="26">
        <f>(O6*N6)</f>
        <v>12.296409372616226</v>
      </c>
      <c r="R6" s="37">
        <f>(B5)</f>
        <v>16.92480436</v>
      </c>
      <c r="S6" s="26">
        <f>(T6/R6)</f>
        <v>2.688361946891066</v>
      </c>
      <c r="T6" s="26">
        <f>(D5)</f>
        <v>45.5</v>
      </c>
      <c r="U6" t="s">
        <v>15</v>
      </c>
    </row>
    <row r="7" spans="2:21">
      <c r="B7" s="37">
        <v>-0.2273</v>
      </c>
      <c r="C7" s="26">
        <f t="shared" ref="C7:C12" si="0">(D7/B7)</f>
        <v>4.95</v>
      </c>
      <c r="D7" s="26">
        <v>-1.125135</v>
      </c>
      <c r="N7" s="37">
        <f>(SUM(R5:R7)/5)</f>
        <v>3.5184162799999994</v>
      </c>
      <c r="O7" s="26">
        <f>($C$5*[1]Params!K9)</f>
        <v>4.3013791150257061</v>
      </c>
      <c r="P7" s="26">
        <f>(O7*N7)</f>
        <v>15.134042304758434</v>
      </c>
      <c r="R7" s="37">
        <f>(SUM(B7:B12))</f>
        <v>6.5941739999999971E-2</v>
      </c>
      <c r="S7" s="26">
        <v>0</v>
      </c>
      <c r="T7" s="26">
        <f>(SUM(D7:D12))</f>
        <v>-0.18958158999999997</v>
      </c>
      <c r="U7" s="27">
        <f>-T7+R7*J3</f>
        <v>0.31042812131757203</v>
      </c>
    </row>
    <row r="8" spans="2:21">
      <c r="B8" s="37">
        <v>-0.30499999999999999</v>
      </c>
      <c r="C8" s="26">
        <f t="shared" si="0"/>
        <v>6.2656189508196727</v>
      </c>
      <c r="D8" s="26">
        <v>-1.91101378</v>
      </c>
      <c r="N8" s="37">
        <f>(SUM(R5:R7)/5)</f>
        <v>3.5184162799999994</v>
      </c>
      <c r="O8" s="26">
        <f>($C$5*[1]Params!K10)</f>
        <v>5.9143962831603458</v>
      </c>
      <c r="P8" s="26">
        <f>(O8*N8)</f>
        <v>20.809308169042847</v>
      </c>
    </row>
    <row r="9" spans="2:21">
      <c r="B9" s="37">
        <v>0.34203370999999999</v>
      </c>
      <c r="C9" s="26">
        <f t="shared" si="0"/>
        <v>5.2626391708583347</v>
      </c>
      <c r="D9" s="26">
        <v>1.8</v>
      </c>
      <c r="N9" s="37">
        <f>(SUM(R5:R7)/5)</f>
        <v>3.5184162799999994</v>
      </c>
      <c r="O9" s="26">
        <f>($C$5*[1]Params!K11)</f>
        <v>13.44180973445533</v>
      </c>
      <c r="P9" s="26">
        <f>(O9*N9)</f>
        <v>47.293882202370099</v>
      </c>
    </row>
    <row r="10" spans="2:21">
      <c r="B10" s="37">
        <v>0.25620802999999998</v>
      </c>
      <c r="C10" s="26">
        <f t="shared" si="0"/>
        <v>4.1372629889859427</v>
      </c>
      <c r="D10" s="26">
        <v>1.06</v>
      </c>
    </row>
    <row r="11" spans="2:21">
      <c r="B11" s="37">
        <v>-0.4</v>
      </c>
      <c r="C11" s="26">
        <f t="shared" si="0"/>
        <v>4.1562849000000002</v>
      </c>
      <c r="D11" s="26">
        <v>-1.6625139600000001</v>
      </c>
      <c r="P11" s="26">
        <f>(SUM(P6:P9))</f>
        <v>95.533642048787613</v>
      </c>
    </row>
    <row r="12" spans="2:21">
      <c r="B12" s="37">
        <v>0.4</v>
      </c>
      <c r="C12" s="26">
        <f t="shared" si="0"/>
        <v>4.1227028749999999</v>
      </c>
      <c r="D12" s="26">
        <f>(1.64908115)</f>
        <v>1.64908115</v>
      </c>
    </row>
    <row r="13" spans="2:21">
      <c r="F13" t="s">
        <v>12</v>
      </c>
      <c r="G13" s="26">
        <f>(D14/B14)</f>
        <v>2.5756144130847423</v>
      </c>
    </row>
    <row r="14" spans="2:21">
      <c r="B14" s="37">
        <f>(SUM(B5:B13))</f>
        <v>17.592081399999998</v>
      </c>
      <c r="D14" s="26">
        <f>(SUM(D5:D13))</f>
        <v>45.310418410000004</v>
      </c>
      <c r="R14" s="37">
        <f>(SUM(R5:R13))</f>
        <v>17.592081399999998</v>
      </c>
      <c r="T14" s="26">
        <f>(SUM(T5:T13))</f>
        <v>45.310418409999997</v>
      </c>
    </row>
    <row r="22" spans="4:4">
      <c r="D22" s="37"/>
    </row>
  </sheetData>
  <conditionalFormatting sqref="C5 C7:C12">
    <cfRule type="cellIs" dxfId="215" priority="7" operator="lessThan">
      <formula>$J$3</formula>
    </cfRule>
    <cfRule type="cellIs" dxfId="214" priority="8" operator="greaterThan">
      <formula>$J$3</formula>
    </cfRule>
  </conditionalFormatting>
  <conditionalFormatting sqref="O6:O9">
    <cfRule type="cellIs" dxfId="213" priority="5" operator="lessThan">
      <formula>$J$3</formula>
    </cfRule>
    <cfRule type="cellIs" dxfId="212" priority="6" operator="greaterThan">
      <formula>$J$3</formula>
    </cfRule>
  </conditionalFormatting>
  <conditionalFormatting sqref="S6:S7">
    <cfRule type="cellIs" dxfId="211" priority="3" operator="lessThan">
      <formula>$J$3</formula>
    </cfRule>
    <cfRule type="cellIs" dxfId="210" priority="4" operator="greaterThan">
      <formula>$J$3</formula>
    </cfRule>
  </conditionalFormatting>
  <conditionalFormatting sqref="G13">
    <cfRule type="cellIs" dxfId="209" priority="1" operator="lessThan">
      <formula>$J$3</formula>
    </cfRule>
    <cfRule type="cellIs" dxfId="208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J41" sqref="J41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3" spans="2:16">
      <c r="I3" t="s">
        <v>3</v>
      </c>
      <c r="J3" s="26">
        <v>10.265561761346619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(B14*J3)</f>
        <v>12.601266345583412</v>
      </c>
      <c r="K4" s="4">
        <f>(J4/D14-1)</f>
        <v>0.15290634451815288</v>
      </c>
    </row>
    <row r="5" spans="2:16">
      <c r="B5" s="37">
        <v>1.1100000000000001</v>
      </c>
      <c r="C5" s="26">
        <f>(D5/B5)</f>
        <v>9.8468468468468462</v>
      </c>
      <c r="D5" s="26">
        <v>10.93</v>
      </c>
      <c r="N5" t="s">
        <v>30</v>
      </c>
      <c r="O5" t="s">
        <v>1</v>
      </c>
      <c r="P5" t="s">
        <v>2</v>
      </c>
    </row>
    <row r="6" spans="2:16">
      <c r="B6" s="37">
        <v>8.7936070000000005E-2</v>
      </c>
      <c r="C6" s="26">
        <v>0</v>
      </c>
      <c r="D6" s="26">
        <f>(B6*C6)</f>
        <v>0</v>
      </c>
      <c r="E6" s="26">
        <f>(B6*J3)</f>
        <v>0.90271315763509963</v>
      </c>
      <c r="M6" t="s">
        <v>10</v>
      </c>
      <c r="N6" s="1">
        <f>(SUM($B$5:$B$7)/5)</f>
        <v>0.24550563600000003</v>
      </c>
      <c r="O6" s="26">
        <f>($C$5*[1]Params!K8)</f>
        <v>12.800900900900901</v>
      </c>
      <c r="P6" s="26">
        <f>(O6*N6)</f>
        <v>3.1426933170486491</v>
      </c>
    </row>
    <row r="7" spans="2:16">
      <c r="B7" s="49">
        <v>2.9592110000000001E-2</v>
      </c>
      <c r="C7" s="29">
        <v>0</v>
      </c>
      <c r="D7" s="30">
        <f>(C7*B7)</f>
        <v>0</v>
      </c>
      <c r="E7" s="26">
        <f>(B7*J4)</f>
        <v>0.37289805983780233</v>
      </c>
      <c r="N7" s="1">
        <f>(SUM($B$5:$B$7)/5)</f>
        <v>0.24550563600000003</v>
      </c>
      <c r="O7" s="26">
        <f>($C$5*[1]Params!K9)</f>
        <v>15.754954954954954</v>
      </c>
      <c r="P7" s="26">
        <f>(O7*N7)</f>
        <v>3.8679302363675676</v>
      </c>
    </row>
    <row r="8" spans="2:16">
      <c r="N8" s="1">
        <f>(SUM($B$5:$B$7)/5)</f>
        <v>0.24550563600000003</v>
      </c>
      <c r="O8" s="26">
        <f>($C$5*[1]Params!K10)</f>
        <v>21.663063063063063</v>
      </c>
      <c r="P8" s="26">
        <f>(O8*N8)</f>
        <v>5.3184040750054065</v>
      </c>
    </row>
    <row r="9" spans="2:16">
      <c r="N9" s="1">
        <f>(SUM($B$5:$B$7)/5)</f>
        <v>0.24550563600000003</v>
      </c>
      <c r="O9" s="26">
        <f>($C$5*[1]Params!K11)</f>
        <v>49.234234234234229</v>
      </c>
      <c r="P9" s="26">
        <f>(O9*N9)</f>
        <v>12.087281988648648</v>
      </c>
    </row>
    <row r="12" spans="2:16">
      <c r="P12" s="26">
        <f>(SUM(P6:P9))</f>
        <v>24.416309617070272</v>
      </c>
    </row>
    <row r="13" spans="2:16">
      <c r="F13" t="s">
        <v>12</v>
      </c>
      <c r="G13" s="26">
        <f>(D14/B14)</f>
        <v>8.9040725729001178</v>
      </c>
    </row>
    <row r="14" spans="2:16">
      <c r="B14" s="18">
        <f>(SUM(B5:B13))</f>
        <v>1.2275281800000002</v>
      </c>
      <c r="D14" s="26">
        <f>(SUM(D5:D13))</f>
        <v>10.93</v>
      </c>
    </row>
  </sheetData>
  <conditionalFormatting sqref="C5">
    <cfRule type="cellIs" dxfId="207" priority="5" operator="lessThan">
      <formula>$J$3</formula>
    </cfRule>
    <cfRule type="cellIs" dxfId="206" priority="6" operator="greaterThan">
      <formula>$J$3</formula>
    </cfRule>
  </conditionalFormatting>
  <conditionalFormatting sqref="O6:O9">
    <cfRule type="cellIs" dxfId="205" priority="3" operator="lessThan">
      <formula>$J$3</formula>
    </cfRule>
    <cfRule type="cellIs" dxfId="204" priority="4" operator="greaterThan">
      <formula>$J$3</formula>
    </cfRule>
  </conditionalFormatting>
  <conditionalFormatting sqref="G13">
    <cfRule type="cellIs" dxfId="203" priority="1" operator="lessThan">
      <formula>$J$3</formula>
    </cfRule>
    <cfRule type="cellIs" dxfId="202" priority="2" operator="greaterThan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>
  <dimension ref="B2:V32"/>
  <sheetViews>
    <sheetView workbookViewId="0">
      <selection activeCell="M2" sqref="M2:P3"/>
    </sheetView>
  </sheetViews>
  <sheetFormatPr baseColWidth="10" defaultColWidth="9.140625" defaultRowHeight="15"/>
  <cols>
    <col min="4" max="4" width="10.28515625" style="25" bestFit="1" customWidth="1"/>
    <col min="5" max="5" width="9.140625" style="25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18" width="9.5703125" style="25" bestFit="1" customWidth="1"/>
    <col min="20" max="20" width="10.28515625" style="25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6">
        <v>36.726342321492638</v>
      </c>
      <c r="M3" t="s">
        <v>4</v>
      </c>
      <c r="N3" s="23">
        <f>(INDEX(N5:N17,MATCH(MAX(O14:O16,O6:O8),O5:O17,0))/0.85)</f>
        <v>0.59400000000000008</v>
      </c>
      <c r="O3" s="27">
        <f>(MAX(O14:O16,O6:O8)*0.75)</f>
        <v>27.127959685086154</v>
      </c>
      <c r="P3" s="26">
        <f>(O3*N3)</f>
        <v>16.114008052941177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6">
        <f>(B19*J3)</f>
        <v>58.173489452600592</v>
      </c>
      <c r="K4" s="4">
        <f>(J4/D19-1)</f>
        <v>8.1067877959808001</v>
      </c>
      <c r="R4" t="s">
        <v>5</v>
      </c>
      <c r="S4" t="s">
        <v>6</v>
      </c>
      <c r="T4" t="s">
        <v>7</v>
      </c>
    </row>
    <row r="5" spans="2:22">
      <c r="B5" s="23">
        <v>2.68572729</v>
      </c>
      <c r="C5" s="26">
        <f>(D5/B5)</f>
        <v>16.941407331047376</v>
      </c>
      <c r="D5" s="26">
        <v>45.5</v>
      </c>
      <c r="E5" t="s">
        <v>15</v>
      </c>
      <c r="M5" t="s">
        <v>15</v>
      </c>
      <c r="N5" t="s">
        <v>30</v>
      </c>
      <c r="O5" t="s">
        <v>1</v>
      </c>
      <c r="P5" t="s">
        <v>2</v>
      </c>
      <c r="R5" s="24">
        <f>(B6)</f>
        <v>1.6779970000000002E-2</v>
      </c>
      <c r="S5" s="29">
        <v>0</v>
      </c>
      <c r="T5" s="30">
        <f>(D6)</f>
        <v>0</v>
      </c>
      <c r="U5" s="26">
        <f>(R5*J3)</f>
        <v>0.61626692236437686</v>
      </c>
    </row>
    <row r="6" spans="2:22">
      <c r="B6" s="24">
        <v>1.6779970000000002E-2</v>
      </c>
      <c r="C6" s="29">
        <v>0</v>
      </c>
      <c r="D6" s="30">
        <f>(B6*C6)</f>
        <v>0</v>
      </c>
      <c r="E6" s="26">
        <f>(B6*J3)</f>
        <v>0.61626692236437686</v>
      </c>
      <c r="M6" t="s">
        <v>10</v>
      </c>
      <c r="N6" s="23">
        <f>($B$5+$R$7)/5</f>
        <v>0.54360487400000002</v>
      </c>
      <c r="O6" s="26">
        <f>($C$5*[1]Params!K8)</f>
        <v>22.023829530361589</v>
      </c>
      <c r="P6" s="26">
        <f>(O6*N6)</f>
        <v>11.972261076849691</v>
      </c>
      <c r="Q6" t="s">
        <v>11</v>
      </c>
      <c r="R6" s="23">
        <f>B5+B13+B15+B17</f>
        <v>1.18742729</v>
      </c>
      <c r="S6" s="26">
        <f>(T6/R6)</f>
        <v>19.176022979899681</v>
      </c>
      <c r="T6" s="26">
        <f>D5-(-B13-B15)*15.13+B17*15.25</f>
        <v>22.770133000000001</v>
      </c>
      <c r="U6" t="s">
        <v>15</v>
      </c>
    </row>
    <row r="7" spans="2:22">
      <c r="B7" s="23">
        <v>-7.17E-2</v>
      </c>
      <c r="C7" s="26">
        <f t="shared" ref="C7:C17" si="0">(D7/B7)</f>
        <v>15.79</v>
      </c>
      <c r="D7" s="26">
        <v>-1.1321429999999999</v>
      </c>
      <c r="N7" s="23">
        <f>-B15</f>
        <v>0.49669999999999997</v>
      </c>
      <c r="O7" s="26">
        <f>P7/N7</f>
        <v>24.414971270384541</v>
      </c>
      <c r="P7" s="26">
        <f>-D15</f>
        <v>12.126916230000001</v>
      </c>
      <c r="Q7" t="s">
        <v>11</v>
      </c>
      <c r="R7" s="23">
        <f>(B7+B11+B8+B9)</f>
        <v>3.2297079999999992E-2</v>
      </c>
      <c r="S7" s="26">
        <v>0</v>
      </c>
      <c r="T7" s="26">
        <f>D7+D11+D8+D9</f>
        <v>-0.2036548899999997</v>
      </c>
      <c r="U7" t="s">
        <v>79</v>
      </c>
      <c r="V7" s="27">
        <f>-T7+R7*J3</f>
        <v>1.3898085060646328</v>
      </c>
    </row>
    <row r="8" spans="2:22">
      <c r="B8">
        <v>-0.114356</v>
      </c>
      <c r="C8" s="26">
        <f t="shared" si="0"/>
        <v>20.563082741613908</v>
      </c>
      <c r="D8" s="26">
        <v>-2.3515118899999998</v>
      </c>
      <c r="N8" s="23">
        <f>-B17</f>
        <v>0.50490000000000002</v>
      </c>
      <c r="O8" s="26">
        <f>P8/N8</f>
        <v>36.170612913448203</v>
      </c>
      <c r="P8" s="26">
        <f>-D17</f>
        <v>18.262542459999999</v>
      </c>
      <c r="Q8" t="s">
        <v>11</v>
      </c>
      <c r="R8" s="23">
        <f>(B10)+B12+B14+B16</f>
        <v>0.34746742999999991</v>
      </c>
      <c r="S8" s="26">
        <f>(T8/R8)</f>
        <v>18.756074490204739</v>
      </c>
      <c r="T8" s="26">
        <f>(D10)-(-B12-B14-B16)*14.31</f>
        <v>6.5171249999999992</v>
      </c>
      <c r="U8" t="str">
        <f>E10</f>
        <v>DCA4</v>
      </c>
    </row>
    <row r="9" spans="2:22">
      <c r="B9" s="23">
        <v>0.12727869999999999</v>
      </c>
      <c r="C9" s="26">
        <f t="shared" si="0"/>
        <v>17.442038612902241</v>
      </c>
      <c r="D9" s="26">
        <v>2.2200000000000002</v>
      </c>
      <c r="N9" s="23">
        <f>4*($B$5+$R$7+R5)/5-N6-N7-N8</f>
        <v>0.64263859799999989</v>
      </c>
      <c r="O9" s="26">
        <f>($S$6*[1]Params!K11)</f>
        <v>95.880114899498409</v>
      </c>
      <c r="P9" s="26">
        <f>(O9*N9)</f>
        <v>61.616262615092559</v>
      </c>
      <c r="R9" s="23">
        <f t="shared" ref="R9:R14" si="1">B12-B12</f>
        <v>0</v>
      </c>
      <c r="S9" s="27">
        <v>0</v>
      </c>
      <c r="T9" s="27">
        <f>D12-B12*14.31</f>
        <v>-0.58156317999999962</v>
      </c>
    </row>
    <row r="10" spans="2:22">
      <c r="B10" s="23">
        <v>0.75996743</v>
      </c>
      <c r="C10" s="26">
        <f t="shared" si="0"/>
        <v>16.342805638394267</v>
      </c>
      <c r="D10" s="26">
        <v>12.42</v>
      </c>
      <c r="E10" t="s">
        <v>80</v>
      </c>
      <c r="R10" s="23">
        <f t="shared" si="1"/>
        <v>0</v>
      </c>
      <c r="S10" s="27">
        <v>0</v>
      </c>
      <c r="T10" s="27">
        <f>D13-B13*15.13</f>
        <v>-3.3300066700000004</v>
      </c>
    </row>
    <row r="11" spans="2:22">
      <c r="B11" s="23">
        <v>9.1074379999999996E-2</v>
      </c>
      <c r="C11" s="26">
        <f t="shared" si="0"/>
        <v>11.638838496622212</v>
      </c>
      <c r="D11" s="26">
        <v>1.06</v>
      </c>
      <c r="P11" s="26">
        <f>(SUM(P6:P9))</f>
        <v>103.97798238194224</v>
      </c>
      <c r="R11" s="23">
        <f t="shared" si="1"/>
        <v>0</v>
      </c>
      <c r="S11" s="27">
        <v>0</v>
      </c>
      <c r="T11" s="27">
        <f>D14-B14*14.31</f>
        <v>-1.1646581099999997</v>
      </c>
    </row>
    <row r="12" spans="2:22">
      <c r="B12" s="23">
        <v>-0.13750000000000001</v>
      </c>
      <c r="C12" s="26">
        <f t="shared" si="0"/>
        <v>18.539550399999996</v>
      </c>
      <c r="D12" s="26">
        <v>-2.5491881799999998</v>
      </c>
      <c r="P12" s="26"/>
      <c r="R12" s="23">
        <f t="shared" si="1"/>
        <v>0</v>
      </c>
      <c r="S12" s="27">
        <v>0</v>
      </c>
      <c r="T12" s="27">
        <f>D15-B15*15.13</f>
        <v>-4.611845230000001</v>
      </c>
    </row>
    <row r="13" spans="2:22">
      <c r="B13" s="23">
        <v>-0.49669999999999997</v>
      </c>
      <c r="C13" s="26">
        <f t="shared" si="0"/>
        <v>21.834261465673446</v>
      </c>
      <c r="D13" s="26">
        <v>-10.84507767</v>
      </c>
      <c r="M13" t="s">
        <v>80</v>
      </c>
      <c r="N13" t="s">
        <v>30</v>
      </c>
      <c r="O13" t="s">
        <v>1</v>
      </c>
      <c r="P13" t="s">
        <v>2</v>
      </c>
      <c r="R13" s="23">
        <f t="shared" si="1"/>
        <v>0</v>
      </c>
      <c r="S13" s="27">
        <v>0</v>
      </c>
      <c r="T13" s="27">
        <f>D16-B16*14.31</f>
        <v>-2.4447861399999997</v>
      </c>
    </row>
    <row r="14" spans="2:22">
      <c r="B14" s="23">
        <v>-0.13700000000000001</v>
      </c>
      <c r="C14" s="26">
        <f t="shared" si="0"/>
        <v>22.811154087591238</v>
      </c>
      <c r="D14" s="26">
        <f>-3.12512811</f>
        <v>-3.1251281099999999</v>
      </c>
      <c r="M14" t="s">
        <v>10</v>
      </c>
      <c r="N14" s="23">
        <f>-B12</f>
        <v>0.13750000000000001</v>
      </c>
      <c r="O14" s="26">
        <f>18.6</f>
        <v>18.600000000000001</v>
      </c>
      <c r="P14" s="26">
        <f>-D12</f>
        <v>2.5491881799999998</v>
      </c>
      <c r="Q14" t="s">
        <v>11</v>
      </c>
      <c r="R14" s="23">
        <f t="shared" si="1"/>
        <v>0</v>
      </c>
      <c r="T14" s="27">
        <f>D17-B17*15.25</f>
        <v>-10.562817459999998</v>
      </c>
    </row>
    <row r="15" spans="2:22">
      <c r="B15" s="23">
        <v>-0.49669999999999997</v>
      </c>
      <c r="C15" s="26">
        <f t="shared" si="0"/>
        <v>24.414971270384541</v>
      </c>
      <c r="D15" s="26">
        <v>-12.126916230000001</v>
      </c>
      <c r="N15" s="23">
        <f>-B14</f>
        <v>0.13700000000000001</v>
      </c>
      <c r="O15" s="26">
        <f>C14</f>
        <v>22.811154087591238</v>
      </c>
      <c r="P15" s="26">
        <f>-D14</f>
        <v>3.1251281099999999</v>
      </c>
      <c r="Q15" t="s">
        <v>11</v>
      </c>
    </row>
    <row r="16" spans="2:22">
      <c r="B16" s="23">
        <v>-0.13800000000000001</v>
      </c>
      <c r="C16" s="26">
        <f t="shared" si="0"/>
        <v>32.025841594202895</v>
      </c>
      <c r="D16" s="26">
        <v>-4.4195661399999997</v>
      </c>
      <c r="N16" s="23">
        <f>-B16</f>
        <v>0.13800000000000001</v>
      </c>
      <c r="O16" s="26">
        <f>C16</f>
        <v>32.025841594202895</v>
      </c>
      <c r="P16" s="26">
        <f>-D16</f>
        <v>4.4195661399999997</v>
      </c>
      <c r="Q16" t="s">
        <v>11</v>
      </c>
    </row>
    <row r="17" spans="2:20">
      <c r="B17" s="23">
        <v>-0.50490000000000002</v>
      </c>
      <c r="C17" s="26">
        <f t="shared" si="0"/>
        <v>36.170612913448203</v>
      </c>
      <c r="D17" s="26">
        <v>-18.262542459999999</v>
      </c>
      <c r="N17" s="23">
        <f>4*($B$10)/5-N14-N15-N16</f>
        <v>0.19547394400000001</v>
      </c>
      <c r="O17" s="26">
        <f>($S$8*[1]Params!K11)</f>
        <v>93.780372451023695</v>
      </c>
      <c r="P17" s="26">
        <f>(O17*N17)</f>
        <v>18.331619272790551</v>
      </c>
    </row>
    <row r="18" spans="2:20">
      <c r="F18" t="s">
        <v>12</v>
      </c>
      <c r="G18" s="26">
        <f>(D19/B19)</f>
        <v>4.0328536410721547</v>
      </c>
    </row>
    <row r="19" spans="2:20">
      <c r="B19" s="23">
        <f>(SUM(B5:B18))</f>
        <v>1.5839717699999998</v>
      </c>
      <c r="D19" s="26">
        <f>(SUM(D5:D18))</f>
        <v>6.3879263200000054</v>
      </c>
      <c r="P19" s="26">
        <f>(SUM(P14:P17))</f>
        <v>28.425501702790552</v>
      </c>
      <c r="R19" s="23">
        <f>(SUM(R5:R18))</f>
        <v>1.5839717699999998</v>
      </c>
      <c r="T19" s="26">
        <f>(SUM(T5:T18))</f>
        <v>6.3879263200000054</v>
      </c>
    </row>
    <row r="32" spans="2:20">
      <c r="R32" s="27">
        <f>D19/B19</f>
        <v>4.0328536410721547</v>
      </c>
    </row>
  </sheetData>
  <conditionalFormatting sqref="C5 C9:C11 G18 O9 O17 S6 S8">
    <cfRule type="cellIs" dxfId="201" priority="19" operator="lessThan">
      <formula>$J$3</formula>
    </cfRule>
    <cfRule type="cellIs" dxfId="200" priority="20" operator="greaterThan">
      <formula>$J$3</formula>
    </cfRule>
  </conditionalFormatting>
  <conditionalFormatting sqref="O3">
    <cfRule type="cellIs" dxfId="199" priority="1" operator="greaterThan">
      <formula>$J$3</formula>
    </cfRule>
    <cfRule type="cellIs" dxfId="198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J41" sqref="J41"/>
    </sheetView>
  </sheetViews>
  <sheetFormatPr baseColWidth="10" defaultColWidth="9.140625" defaultRowHeight="15"/>
  <cols>
    <col min="2" max="2" width="9.140625" style="25" customWidth="1"/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0.5703125" style="25" bestFit="1" customWidth="1"/>
    <col min="20" max="20" width="10.28515625" style="25" bestFit="1" customWidth="1"/>
  </cols>
  <sheetData>
    <row r="3" spans="2:21">
      <c r="I3" t="s">
        <v>3</v>
      </c>
      <c r="J3" s="26">
        <v>385.2860031241691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(B17*J3)</f>
        <v>291.52569875461472</v>
      </c>
      <c r="K4" s="4">
        <f>(J4/D17-1)</f>
        <v>0.36961837532638708</v>
      </c>
      <c r="R4" t="s">
        <v>5</v>
      </c>
      <c r="S4" t="s">
        <v>6</v>
      </c>
      <c r="T4" t="s">
        <v>7</v>
      </c>
    </row>
    <row r="5" spans="2:21">
      <c r="B5" s="52">
        <v>2.1511999999999999E-4</v>
      </c>
      <c r="C5" s="26">
        <v>244</v>
      </c>
      <c r="D5" s="26">
        <f>(B5*C5)</f>
        <v>5.2489279999999999E-2</v>
      </c>
      <c r="M5" t="s">
        <v>9</v>
      </c>
      <c r="N5" t="s">
        <v>30</v>
      </c>
      <c r="O5" t="s">
        <v>1</v>
      </c>
      <c r="P5" t="s">
        <v>2</v>
      </c>
      <c r="R5" s="52">
        <f>(B5+B13+B9)</f>
        <v>2.31774E-3</v>
      </c>
      <c r="S5" s="26">
        <f>(T5/R5)</f>
        <v>249.20103203983189</v>
      </c>
      <c r="T5" s="26">
        <f>(D5+D13+D9)</f>
        <v>0.57758319999999996</v>
      </c>
    </row>
    <row r="6" spans="2:21">
      <c r="B6" s="52">
        <v>6.6478800000000001E-3</v>
      </c>
      <c r="C6" s="26">
        <v>373</v>
      </c>
      <c r="D6" s="26">
        <f>(C6*B6)</f>
        <v>2.4796592400000002</v>
      </c>
      <c r="M6" t="s">
        <v>10</v>
      </c>
      <c r="N6" s="23">
        <f>($R$8/5)</f>
        <v>0.11722149799999999</v>
      </c>
      <c r="O6" s="26">
        <f>($S$8*[1]Params!K8)</f>
        <v>371.2305399816679</v>
      </c>
      <c r="P6" s="26">
        <f>(O6*N6)</f>
        <v>43.516200000000005</v>
      </c>
      <c r="R6" s="52">
        <f>(B6)</f>
        <v>6.6478800000000001E-3</v>
      </c>
      <c r="S6" s="26">
        <f>(C6)</f>
        <v>373</v>
      </c>
      <c r="T6" s="26">
        <f>(R6*S6)</f>
        <v>2.4796592400000002</v>
      </c>
    </row>
    <row r="7" spans="2:21">
      <c r="B7" s="52">
        <v>2.3499999999999999E-4</v>
      </c>
      <c r="C7" s="26">
        <v>0</v>
      </c>
      <c r="D7" s="26">
        <v>0</v>
      </c>
      <c r="E7" s="26">
        <f>(B7*J3)</f>
        <v>9.0542210734179729E-2</v>
      </c>
      <c r="I7" t="s">
        <v>10</v>
      </c>
      <c r="J7">
        <v>1</v>
      </c>
      <c r="N7" s="23">
        <f>($R$8/5)</f>
        <v>0.11722149799999999</v>
      </c>
      <c r="O7" s="26">
        <f>($S$8*[1]Params!K9)</f>
        <v>456.89912613128354</v>
      </c>
      <c r="P7" s="26">
        <f>(O7*N7)</f>
        <v>53.558399999999999</v>
      </c>
      <c r="R7" s="52">
        <f>(B7+B8+B10)</f>
        <v>3.1166000000000002E-3</v>
      </c>
      <c r="S7" s="26">
        <f>(C7)</f>
        <v>0</v>
      </c>
      <c r="T7" s="26">
        <f>(R7*S7)</f>
        <v>0</v>
      </c>
    </row>
    <row r="8" spans="2:21">
      <c r="B8" s="52">
        <v>9.4980000000000002E-5</v>
      </c>
      <c r="C8" s="26">
        <v>0</v>
      </c>
      <c r="D8" s="26">
        <v>0</v>
      </c>
      <c r="E8" s="26">
        <f>(B8*J3)</f>
        <v>3.6594464576733585E-2</v>
      </c>
      <c r="I8" t="s">
        <v>13</v>
      </c>
      <c r="J8" s="52">
        <f>(J7-B17)</f>
        <v>0.2433524800000002</v>
      </c>
      <c r="N8" s="23">
        <f>($R$8/5)</f>
        <v>0.11722149799999999</v>
      </c>
      <c r="O8" s="26">
        <f>($S$8*[1]Params!K10)</f>
        <v>628.23629843051492</v>
      </c>
      <c r="P8" s="26">
        <f>(O8*N8)</f>
        <v>73.642800000000008</v>
      </c>
      <c r="R8" s="52">
        <f>(B11)</f>
        <v>0.58610748999999995</v>
      </c>
      <c r="S8" s="26">
        <f>(C11)</f>
        <v>285.56195383205221</v>
      </c>
      <c r="T8" s="26">
        <f>(R8*S8)</f>
        <v>167.36999999999998</v>
      </c>
      <c r="U8" t="s">
        <v>9</v>
      </c>
    </row>
    <row r="9" spans="2:21">
      <c r="B9" s="52">
        <v>9.0920000000000004E-5</v>
      </c>
      <c r="C9" s="26">
        <v>276</v>
      </c>
      <c r="D9" s="26">
        <f>(B9*C9)</f>
        <v>2.5093920000000002E-2</v>
      </c>
      <c r="E9" s="26"/>
      <c r="I9" t="s">
        <v>14</v>
      </c>
      <c r="J9" s="32">
        <f>(J8*J3)</f>
        <v>93.760304369554376</v>
      </c>
      <c r="N9" s="23">
        <f>($R$8/5)</f>
        <v>0.11722149799999999</v>
      </c>
      <c r="O9" s="26">
        <f>($S$8*[1]Params!K11)</f>
        <v>1427.8097691602611</v>
      </c>
      <c r="P9" s="26">
        <f>(O9*N9)</f>
        <v>167.37</v>
      </c>
      <c r="R9" s="52">
        <f>(B12)</f>
        <v>0.15767907</v>
      </c>
      <c r="S9" s="26">
        <f>(C12)</f>
        <v>288.56080899005809</v>
      </c>
      <c r="T9" s="26">
        <f>(R9*S9)</f>
        <v>45.5</v>
      </c>
      <c r="U9" t="s">
        <v>15</v>
      </c>
    </row>
    <row r="10" spans="2:21">
      <c r="B10" s="53">
        <v>2.7866200000000001E-3</v>
      </c>
      <c r="C10" s="29">
        <v>0</v>
      </c>
      <c r="D10" s="30">
        <v>0</v>
      </c>
      <c r="E10" s="26">
        <f>(B10*J3)</f>
        <v>1.0736456820258722</v>
      </c>
      <c r="P10" s="26"/>
      <c r="R10" s="52">
        <f>B14+B15</f>
        <v>7.7873999999999999E-4</v>
      </c>
      <c r="S10" s="26">
        <v>0</v>
      </c>
      <c r="T10" s="27">
        <f>D14+D15</f>
        <v>-3.0754700000000099</v>
      </c>
    </row>
    <row r="11" spans="2:21">
      <c r="B11" s="52">
        <v>0.58610748999999995</v>
      </c>
      <c r="C11" s="26">
        <f>(D11/B11)</f>
        <v>285.56195383205221</v>
      </c>
      <c r="D11" s="26">
        <v>167.37</v>
      </c>
      <c r="E11" t="s">
        <v>9</v>
      </c>
      <c r="P11" s="26">
        <f>(SUM(P6:P9))</f>
        <v>338.0874</v>
      </c>
    </row>
    <row r="12" spans="2:21">
      <c r="B12" s="52">
        <v>0.15767907</v>
      </c>
      <c r="C12" s="26">
        <f>(D12/B12)</f>
        <v>288.56080899005809</v>
      </c>
      <c r="D12" s="26">
        <v>45.5</v>
      </c>
      <c r="E12" t="s">
        <v>15</v>
      </c>
    </row>
    <row r="13" spans="2:21">
      <c r="B13" s="52">
        <v>2.0116999999999999E-3</v>
      </c>
      <c r="C13" s="26">
        <f>(D13/B13)</f>
        <v>248.54600586568574</v>
      </c>
      <c r="D13" s="26">
        <v>0.5</v>
      </c>
      <c r="M13" t="s">
        <v>15</v>
      </c>
      <c r="N13" t="s">
        <v>30</v>
      </c>
      <c r="O13" t="s">
        <v>1</v>
      </c>
      <c r="P13" t="s">
        <v>2</v>
      </c>
    </row>
    <row r="14" spans="2:21">
      <c r="B14" s="52">
        <v>0.29477873999999998</v>
      </c>
      <c r="C14" s="26">
        <f>(D14/B14)</f>
        <v>233.6752643694725</v>
      </c>
      <c r="D14" s="26">
        <f>39.9285+28.954</f>
        <v>68.882499999999993</v>
      </c>
      <c r="M14" t="s">
        <v>10</v>
      </c>
      <c r="N14" s="23">
        <f>($R$9/5)</f>
        <v>3.1535814000000002E-2</v>
      </c>
      <c r="O14" s="26">
        <f>($S$9*[1]Params!K8)</f>
        <v>375.12905168707556</v>
      </c>
      <c r="P14" s="26">
        <f>(O14*N14)</f>
        <v>11.830000000000002</v>
      </c>
    </row>
    <row r="15" spans="2:21">
      <c r="B15" s="52">
        <v>-0.29399999999999998</v>
      </c>
      <c r="C15" s="26">
        <f>(D15/B15)</f>
        <v>244.75500000000002</v>
      </c>
      <c r="D15" s="26">
        <v>-71.957970000000003</v>
      </c>
      <c r="N15" s="23">
        <f>($R$9/5)</f>
        <v>3.1535814000000002E-2</v>
      </c>
      <c r="O15" s="26">
        <f>($S$9*[1]Params!K9)</f>
        <v>461.69729438409297</v>
      </c>
      <c r="P15" s="26">
        <f>(O15*N15)</f>
        <v>14.560000000000002</v>
      </c>
    </row>
    <row r="16" spans="2:21">
      <c r="N16" s="23">
        <f>($R$9/5)</f>
        <v>3.1535814000000002E-2</v>
      </c>
      <c r="O16" s="26">
        <f>($S$9*[1]Params!K10)</f>
        <v>634.83377977812791</v>
      </c>
      <c r="P16" s="26">
        <f>(O16*N16)</f>
        <v>20.020000000000003</v>
      </c>
    </row>
    <row r="17" spans="2:16">
      <c r="B17" s="52">
        <f>(SUM(B5:B16))</f>
        <v>0.7566475199999998</v>
      </c>
      <c r="D17" s="26">
        <f>(SUM(D5:D16))</f>
        <v>212.85177244000005</v>
      </c>
      <c r="F17" t="s">
        <v>12</v>
      </c>
      <c r="G17" s="26">
        <f>(SUM(D5:D16)/SUM(B5:B16))</f>
        <v>281.3090201366154</v>
      </c>
      <c r="N17" s="23">
        <f>($R$9/5)</f>
        <v>3.1535814000000002E-2</v>
      </c>
      <c r="O17" s="26">
        <f>($S$9*[1]Params!K11)</f>
        <v>1442.8040449502905</v>
      </c>
      <c r="P17" s="26">
        <f>(O17*N17)</f>
        <v>45.500000000000007</v>
      </c>
    </row>
    <row r="18" spans="2:16">
      <c r="P18" s="26"/>
    </row>
    <row r="19" spans="2:16">
      <c r="P19" s="26">
        <f>(SUM(P14:P17))</f>
        <v>91.910000000000025</v>
      </c>
    </row>
    <row r="22" spans="2:16">
      <c r="N22" s="23"/>
      <c r="O22" s="26"/>
      <c r="P22" s="26"/>
    </row>
    <row r="23" spans="2:16">
      <c r="N23" s="23"/>
      <c r="O23" s="26"/>
      <c r="P23" s="26"/>
    </row>
    <row r="24" spans="2:16">
      <c r="N24" s="23"/>
      <c r="O24" s="26"/>
      <c r="P24" s="26"/>
    </row>
    <row r="25" spans="2:16">
      <c r="N25" s="23"/>
      <c r="O25" s="26"/>
      <c r="P25" s="26"/>
    </row>
    <row r="26" spans="2:16">
      <c r="P26" s="26"/>
    </row>
    <row r="27" spans="2:16">
      <c r="P27" s="26"/>
    </row>
    <row r="37" spans="18:20">
      <c r="R37" s="52">
        <f>(SUM(R5:R27))</f>
        <v>0.75664752000000002</v>
      </c>
      <c r="T37" s="26">
        <f>(SUM(T5:T27))</f>
        <v>212.85177243999999</v>
      </c>
    </row>
  </sheetData>
  <conditionalFormatting sqref="C5:C6 C9 C11:C14 O6:O9 O14 S5:S6 S8:S9">
    <cfRule type="cellIs" dxfId="197" priority="11" operator="lessThan">
      <formula>$J$3</formula>
    </cfRule>
    <cfRule type="cellIs" dxfId="196" priority="12" operator="greaterThan">
      <formula>$J$3</formula>
    </cfRule>
  </conditionalFormatting>
  <conditionalFormatting sqref="O15:O17">
    <cfRule type="cellIs" dxfId="195" priority="7" operator="lessThan">
      <formula>$J$3</formula>
    </cfRule>
    <cfRule type="cellIs" dxfId="194" priority="8" operator="greaterThan">
      <formula>$J$3</formula>
    </cfRule>
  </conditionalFormatting>
  <conditionalFormatting sqref="G17">
    <cfRule type="cellIs" dxfId="193" priority="1" operator="lessThan">
      <formula>$J$3</formula>
    </cfRule>
    <cfRule type="cellIs" dxfId="192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N6" sqref="N6"/>
    </sheetView>
  </sheetViews>
  <sheetFormatPr baseColWidth="10" defaultColWidth="9.140625" defaultRowHeight="15"/>
  <cols>
    <col min="2" max="2" width="9.28515625" style="25" customWidth="1"/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3" spans="2:16">
      <c r="I3" t="s">
        <v>3</v>
      </c>
      <c r="J3" s="54">
        <v>8.6137859665272418E-2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(B13*J3)</f>
        <v>5.2899361875205422</v>
      </c>
      <c r="K4" s="4">
        <f>(J4/D13-1)</f>
        <v>5.7987237504108391E-2</v>
      </c>
    </row>
    <row r="5" spans="2:16">
      <c r="B5" s="37">
        <v>61.119118389999997</v>
      </c>
      <c r="C5" s="47">
        <f>(D5/B5)</f>
        <v>8.1807462733593267E-2</v>
      </c>
      <c r="D5" s="26">
        <v>5</v>
      </c>
      <c r="N5" t="s">
        <v>30</v>
      </c>
      <c r="O5" t="s">
        <v>1</v>
      </c>
      <c r="P5" t="s">
        <v>2</v>
      </c>
    </row>
    <row r="6" spans="2:16">
      <c r="B6" s="49">
        <v>0.29332217999999999</v>
      </c>
      <c r="C6" s="29">
        <v>0</v>
      </c>
      <c r="D6" s="30">
        <f>(B6*C6)</f>
        <v>0</v>
      </c>
      <c r="E6" s="26">
        <f>(B6*J3)</f>
        <v>2.5266144777551774E-2</v>
      </c>
      <c r="M6" t="s">
        <v>10</v>
      </c>
      <c r="N6" s="37">
        <f>($B$13/5)</f>
        <v>12.282488114</v>
      </c>
      <c r="O6" s="26">
        <f>($C$5*[1]Params!K8)</f>
        <v>0.10634970155367125</v>
      </c>
      <c r="P6" s="26">
        <f>(O6*N6)</f>
        <v>1.3062389452604144</v>
      </c>
    </row>
    <row r="7" spans="2:16">
      <c r="N7" s="37">
        <f>($B$13/5)</f>
        <v>12.282488114</v>
      </c>
      <c r="O7" s="26">
        <f>($C$5*[1]Params!K9)</f>
        <v>0.13089194037374924</v>
      </c>
      <c r="P7" s="26">
        <f>(O7*N7)</f>
        <v>1.6076787018589718</v>
      </c>
    </row>
    <row r="8" spans="2:16">
      <c r="N8" s="37">
        <f>($B$13/5)</f>
        <v>12.282488114</v>
      </c>
      <c r="O8" s="26">
        <f>($C$5*[1]Params!K10)</f>
        <v>0.17997641801390521</v>
      </c>
      <c r="P8" s="26">
        <f>(O8*N8)</f>
        <v>2.2105582150560861</v>
      </c>
    </row>
    <row r="9" spans="2:16">
      <c r="N9" s="37">
        <f>($B$13/5)</f>
        <v>12.282488114</v>
      </c>
      <c r="O9" s="26">
        <f>($C$5*[1]Params!K11)</f>
        <v>0.40903731366796636</v>
      </c>
      <c r="P9" s="26">
        <f>(O9*N9)</f>
        <v>5.023995943309286</v>
      </c>
    </row>
    <row r="11" spans="2:16">
      <c r="P11" s="26">
        <f>(SUM(P6:P9))</f>
        <v>10.148471805484759</v>
      </c>
    </row>
    <row r="12" spans="2:16">
      <c r="F12" t="s">
        <v>12</v>
      </c>
      <c r="G12" s="26">
        <f>(D13/B13)</f>
        <v>8.1416728493322613E-2</v>
      </c>
    </row>
    <row r="13" spans="2:16">
      <c r="B13" s="37">
        <f>(SUM(B5:B12))</f>
        <v>61.412440569999994</v>
      </c>
      <c r="D13" s="26">
        <f>(SUM(D5:D12))</f>
        <v>5</v>
      </c>
    </row>
  </sheetData>
  <conditionalFormatting sqref="O6:O9">
    <cfRule type="cellIs" dxfId="191" priority="5" operator="lessThan">
      <formula>$J$3</formula>
    </cfRule>
    <cfRule type="cellIs" dxfId="190" priority="6" operator="greaterThan">
      <formula>$J$3</formula>
    </cfRule>
  </conditionalFormatting>
  <conditionalFormatting sqref="C5">
    <cfRule type="cellIs" dxfId="189" priority="3" operator="lessThan">
      <formula>$J$3</formula>
    </cfRule>
    <cfRule type="cellIs" dxfId="188" priority="4" operator="greaterThan">
      <formula>$J$3</formula>
    </cfRule>
  </conditionalFormatting>
  <conditionalFormatting sqref="G12">
    <cfRule type="cellIs" dxfId="187" priority="1" operator="lessThan">
      <formula>$J$3</formula>
    </cfRule>
    <cfRule type="cellIs" dxfId="186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2:U28"/>
  <sheetViews>
    <sheetView workbookViewId="0">
      <selection activeCell="M20" sqref="M20"/>
    </sheetView>
  </sheetViews>
  <sheetFormatPr baseColWidth="10" defaultColWidth="9.140625" defaultRowHeight="15"/>
  <cols>
    <col min="2" max="2" width="9.140625" style="25" customWidth="1"/>
    <col min="9" max="9" width="12.42578125" style="25" bestFit="1" customWidth="1"/>
    <col min="14" max="15" width="11.28515625" style="25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7.7604496808455883</v>
      </c>
      <c r="M3" t="s">
        <v>4</v>
      </c>
      <c r="N3" s="23">
        <f>(INDEX(N5:N17,MATCH(MAX(O6),O5:O17,0))/0.85)</f>
        <v>1.6154117647058823</v>
      </c>
      <c r="O3" s="27">
        <f>(MAX(O6)*0.75)</f>
        <v>5.4043818112300634</v>
      </c>
      <c r="P3" s="47">
        <f>(O3*N3)</f>
        <v>8.7303019588235298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(B15*J3)</f>
        <v>53.221212026027075</v>
      </c>
      <c r="K4" s="4">
        <f>(J4/D15-1)</f>
        <v>0.53082604941286027</v>
      </c>
      <c r="R4" t="s">
        <v>5</v>
      </c>
      <c r="S4" t="s">
        <v>6</v>
      </c>
      <c r="T4" t="s">
        <v>7</v>
      </c>
    </row>
    <row r="5" spans="2:21">
      <c r="B5" s="23">
        <v>7.8927101999999998</v>
      </c>
      <c r="C5" s="26">
        <f>(D5/B5)</f>
        <v>5.764813207002077</v>
      </c>
      <c r="D5" s="26">
        <v>45.5</v>
      </c>
      <c r="E5" t="s">
        <v>15</v>
      </c>
      <c r="M5" t="s">
        <v>15</v>
      </c>
      <c r="N5" t="s">
        <v>30</v>
      </c>
      <c r="O5" t="s">
        <v>1</v>
      </c>
      <c r="P5" t="s">
        <v>2</v>
      </c>
      <c r="R5" s="24">
        <f>(B6)</f>
        <v>8.0614549999999993E-2</v>
      </c>
      <c r="S5" s="29">
        <v>0</v>
      </c>
      <c r="T5" s="30">
        <f>(D6)</f>
        <v>0</v>
      </c>
      <c r="U5">
        <f>(R5*J3)</f>
        <v>0.62560515881901069</v>
      </c>
    </row>
    <row r="6" spans="2:21">
      <c r="B6" s="24">
        <v>8.0614549999999993E-2</v>
      </c>
      <c r="C6" s="29">
        <v>0</v>
      </c>
      <c r="D6" s="30">
        <f>(B6*C6)</f>
        <v>0</v>
      </c>
      <c r="E6" s="26">
        <f>(B6*J3)</f>
        <v>0.62560515881901069</v>
      </c>
      <c r="M6" t="s">
        <v>10</v>
      </c>
      <c r="N6" s="23">
        <f>-B11</f>
        <v>1.3731</v>
      </c>
      <c r="O6" s="26">
        <f>C11</f>
        <v>7.2058424149734179</v>
      </c>
      <c r="P6" s="26">
        <f>-D11</f>
        <v>9.8943422200000004</v>
      </c>
      <c r="Q6" t="s">
        <v>11</v>
      </c>
      <c r="R6" s="23">
        <f>B5+B11</f>
        <v>6.5196101999999998</v>
      </c>
      <c r="S6" s="26">
        <f>(T6/R6)</f>
        <v>5.8121612853480107</v>
      </c>
      <c r="T6" s="26">
        <f>D5+B11*5.54</f>
        <v>37.893025999999999</v>
      </c>
      <c r="U6" t="s">
        <v>15</v>
      </c>
    </row>
    <row r="7" spans="2:21">
      <c r="B7" s="23">
        <v>0.11156135</v>
      </c>
      <c r="C7" s="26">
        <f>(D7/B7)</f>
        <v>4.4818389164347687</v>
      </c>
      <c r="D7" s="26">
        <v>0.5</v>
      </c>
      <c r="N7" s="23">
        <f>2*($B$15+$N$6)/5-$N$6</f>
        <v>1.9193424800000005</v>
      </c>
      <c r="O7" s="26">
        <f>($C$5*[1]Params!K9)</f>
        <v>9.2237011312033239</v>
      </c>
      <c r="P7" s="26">
        <f>(O7*N7)</f>
        <v>17.703441403942598</v>
      </c>
      <c r="R7" s="23">
        <f>B7</f>
        <v>0.11156135</v>
      </c>
      <c r="S7" s="26">
        <f>(T7/R7)</f>
        <v>4.4818389164347687</v>
      </c>
      <c r="T7" s="27">
        <f>D7</f>
        <v>0.5</v>
      </c>
    </row>
    <row r="8" spans="2:21">
      <c r="B8" s="23">
        <f>(-0.2134+N16)</f>
        <v>-0.21340000000000001</v>
      </c>
      <c r="C8" s="26">
        <f>(D8/B8)</f>
        <v>5.3527599426527646</v>
      </c>
      <c r="D8" s="26">
        <f>(-1.27565659-D9)</f>
        <v>-1.1422789717621</v>
      </c>
      <c r="N8" s="23">
        <f>2*($B$15+$N$6)/5-$N$6</f>
        <v>1.9193424800000005</v>
      </c>
      <c r="O8" s="26">
        <f>($C$5*[1]Params!K10)</f>
        <v>12.68258905540457</v>
      </c>
      <c r="P8" s="26">
        <f>(O8*N8)</f>
        <v>24.342231930421072</v>
      </c>
      <c r="R8" s="23">
        <f>SUM(B8:B10)+B13+B12</f>
        <v>0.14622009999999985</v>
      </c>
      <c r="S8" s="26">
        <f>(T8/R8)</f>
        <v>-9.159631815324996</v>
      </c>
      <c r="T8" s="26">
        <f>SUM(D8:D10)+D12+D13</f>
        <v>-1.3393222800000011</v>
      </c>
    </row>
    <row r="9" spans="2:21">
      <c r="B9">
        <f>-B7/5</f>
        <v>-2.2312270000000002E-2</v>
      </c>
      <c r="C9" s="26">
        <v>5.9777699999999996</v>
      </c>
      <c r="D9" s="26">
        <f>(C9*B9)</f>
        <v>-0.13337761823790001</v>
      </c>
      <c r="N9" s="23">
        <f>2*($B$15+$N$6)/5-$N$6</f>
        <v>1.9193424800000005</v>
      </c>
      <c r="O9" s="26">
        <f>($C$5*[1]Params!K11)</f>
        <v>28.824066035010386</v>
      </c>
      <c r="P9" s="26">
        <f>(O9*N9)</f>
        <v>55.323254387320617</v>
      </c>
      <c r="R9" s="23">
        <f>B11-B11</f>
        <v>0</v>
      </c>
      <c r="S9" s="26">
        <v>0</v>
      </c>
      <c r="T9" s="27">
        <f>D11-B11*5.54</f>
        <v>-2.2873682200000003</v>
      </c>
    </row>
    <row r="10" spans="2:21">
      <c r="B10" s="23">
        <v>0.21193237000000001</v>
      </c>
      <c r="C10" s="26">
        <f>D10/B10</f>
        <v>5.0487804199047082</v>
      </c>
      <c r="D10" s="26">
        <v>1.07</v>
      </c>
      <c r="N10" s="23"/>
      <c r="P10" s="26"/>
      <c r="R10" s="23"/>
      <c r="S10" s="26"/>
      <c r="T10" s="27"/>
    </row>
    <row r="11" spans="2:21">
      <c r="B11" s="23">
        <v>-1.3731</v>
      </c>
      <c r="C11" s="26">
        <f>(D11/B11)</f>
        <v>7.2058424149734179</v>
      </c>
      <c r="D11" s="26">
        <f>-9.89434222</f>
        <v>-9.8943422200000004</v>
      </c>
      <c r="N11" s="23"/>
      <c r="P11" s="26"/>
    </row>
    <row r="12" spans="2:21">
      <c r="B12" s="23">
        <v>-1.53</v>
      </c>
      <c r="C12" s="26">
        <f>(D12/B12)</f>
        <v>9.0102145686274504</v>
      </c>
      <c r="D12" s="26">
        <v>-13.78562829</v>
      </c>
      <c r="N12" s="23"/>
      <c r="P12" s="26">
        <f>(SUM(P6:P9))</f>
        <v>107.26326994168429</v>
      </c>
    </row>
    <row r="13" spans="2:21">
      <c r="B13" s="23">
        <v>1.7</v>
      </c>
      <c r="C13" s="26">
        <f>(D13/B13)</f>
        <v>7.4423309411764702</v>
      </c>
      <c r="D13" s="26">
        <v>12.651962599999999</v>
      </c>
      <c r="N13" s="23"/>
      <c r="P13" s="26"/>
    </row>
    <row r="14" spans="2:21">
      <c r="F14" t="s">
        <v>12</v>
      </c>
      <c r="G14" s="26">
        <f>(D15/B15)</f>
        <v>5.0694523285791124</v>
      </c>
      <c r="N14" s="23"/>
      <c r="P14" s="26"/>
      <c r="R14" s="23">
        <f>(SUM(R5:R12))</f>
        <v>6.8580061999999993</v>
      </c>
      <c r="T14" s="26">
        <f>(SUM(T5:T12))</f>
        <v>34.766335500000004</v>
      </c>
    </row>
    <row r="15" spans="2:21">
      <c r="B15">
        <f>(SUM(B5:B14))</f>
        <v>6.8580062000000011</v>
      </c>
      <c r="D15" s="26">
        <f>(SUM(D5:D14))</f>
        <v>34.766335499999997</v>
      </c>
    </row>
    <row r="16" spans="2:21">
      <c r="N16" s="23"/>
      <c r="O16" s="26"/>
      <c r="P16" s="26"/>
    </row>
    <row r="17" spans="7:16">
      <c r="N17" s="23"/>
      <c r="O17" s="26"/>
      <c r="P17" s="26"/>
    </row>
    <row r="18" spans="7:16">
      <c r="N18" s="23"/>
      <c r="O18" s="26"/>
      <c r="P18" s="26"/>
    </row>
    <row r="19" spans="7:16">
      <c r="N19" s="23"/>
      <c r="O19" s="26"/>
      <c r="P19" s="26"/>
    </row>
    <row r="20" spans="7:16">
      <c r="P20" s="26"/>
    </row>
    <row r="21" spans="7:16">
      <c r="P21" s="26"/>
    </row>
    <row r="22" spans="7:16">
      <c r="P22" s="26"/>
    </row>
    <row r="28" spans="7:16">
      <c r="G28" s="27"/>
    </row>
  </sheetData>
  <conditionalFormatting sqref="C5 C7 C10 G14 O7:O9 S6:S7">
    <cfRule type="cellIs" dxfId="185" priority="19" operator="lessThan">
      <formula>$J$3</formula>
    </cfRule>
    <cfRule type="cellIs" dxfId="184" priority="20" operator="greaterThan">
      <formula>$J$3</formula>
    </cfRule>
  </conditionalFormatting>
  <conditionalFormatting sqref="O3">
    <cfRule type="cellIs" dxfId="183" priority="3" operator="greaterThan">
      <formula>$J$3</formula>
    </cfRule>
    <cfRule type="cellIs" dxfId="182" priority="4" operator="lessThan">
      <formula>$J$3</formula>
    </cfRule>
  </conditionalFormatting>
  <conditionalFormatting sqref="C13">
    <cfRule type="cellIs" dxfId="181" priority="1" operator="lessThan">
      <formula>$J$3</formula>
    </cfRule>
    <cfRule type="cellIs" dxfId="180" priority="2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2:T22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20" width="9.140625" style="25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6">
        <v>56.997917330015582</v>
      </c>
      <c r="M3" t="s">
        <v>4</v>
      </c>
      <c r="N3" s="23">
        <f>(INDEX(N5:N16,MATCH(MAX(O6),O5:O16,0))/0.85)</f>
        <v>2.9117647058823533E-2</v>
      </c>
      <c r="O3" s="27">
        <f>(MAX(O6)*0.75)</f>
        <v>43.077097272727272</v>
      </c>
      <c r="P3" s="47">
        <f>(O3*N3)</f>
        <v>1.2543037147058824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6">
        <f>(B13*J3)</f>
        <v>5.9360156115215954</v>
      </c>
      <c r="K4" s="4">
        <f>(J4/D13-1)</f>
        <v>0.56857781485624637</v>
      </c>
      <c r="R4" t="s">
        <v>5</v>
      </c>
      <c r="S4" t="s">
        <v>6</v>
      </c>
      <c r="T4" t="s">
        <v>7</v>
      </c>
    </row>
    <row r="5" spans="2:20">
      <c r="B5" s="23">
        <v>0.12084767</v>
      </c>
      <c r="C5" s="26">
        <v>43.03</v>
      </c>
      <c r="D5" s="26">
        <v>5.2</v>
      </c>
      <c r="N5" t="s">
        <v>30</v>
      </c>
      <c r="O5" t="s">
        <v>1</v>
      </c>
      <c r="P5" t="s">
        <v>2</v>
      </c>
      <c r="R5" s="1">
        <f>(B5)</f>
        <v>0.12084767</v>
      </c>
      <c r="S5" s="26">
        <f>(T5/R5)</f>
        <v>43.029377397181094</v>
      </c>
      <c r="T5" s="26">
        <f>(D5)</f>
        <v>5.2</v>
      </c>
    </row>
    <row r="6" spans="2:20">
      <c r="B6" s="24">
        <v>3.0034100000000002E-3</v>
      </c>
      <c r="C6" s="29">
        <v>0</v>
      </c>
      <c r="D6" s="30">
        <f>(B6*C6)</f>
        <v>0</v>
      </c>
      <c r="E6" s="26">
        <f>(B6*J3)</f>
        <v>0.17118811488814212</v>
      </c>
      <c r="M6" t="s">
        <v>10</v>
      </c>
      <c r="N6" s="23">
        <f>-B7</f>
        <v>2.4750000000000001E-2</v>
      </c>
      <c r="O6" s="26">
        <f>P6/N6</f>
        <v>57.436129696969694</v>
      </c>
      <c r="P6" s="26">
        <f>-D7</f>
        <v>1.42154421</v>
      </c>
      <c r="Q6" t="s">
        <v>11</v>
      </c>
      <c r="R6" s="2">
        <f>(B6)</f>
        <v>3.0034100000000002E-3</v>
      </c>
      <c r="S6" s="29">
        <f>(T6/R6)</f>
        <v>0</v>
      </c>
      <c r="T6" s="30">
        <f>(D6)</f>
        <v>0</v>
      </c>
    </row>
    <row r="7" spans="2:20">
      <c r="B7">
        <v>-2.4750000000000001E-2</v>
      </c>
      <c r="C7" s="26">
        <f>D7/B7</f>
        <v>57.436129696969694</v>
      </c>
      <c r="D7" s="26">
        <f>-1.42154421</f>
        <v>-1.42154421</v>
      </c>
      <c r="N7" s="23">
        <f>2*($B$13-$B$7)/5+$B$7</f>
        <v>2.6807772000000001E-2</v>
      </c>
      <c r="O7" s="26">
        <f>($C$5*[1]Params!K9)</f>
        <v>68.847999999999999</v>
      </c>
      <c r="P7" s="26">
        <f>(O7*N7)</f>
        <v>1.8456614866559999</v>
      </c>
      <c r="R7" s="1">
        <f>B7</f>
        <v>-2.4750000000000001E-2</v>
      </c>
      <c r="S7" s="26">
        <v>0</v>
      </c>
      <c r="T7" s="26">
        <f>(D7)</f>
        <v>-1.42154421</v>
      </c>
    </row>
    <row r="8" spans="2:20">
      <c r="B8" s="23">
        <f>-0.0247</f>
        <v>-2.47E-2</v>
      </c>
      <c r="C8" s="26">
        <f>D8/B8</f>
        <v>68.849477327935219</v>
      </c>
      <c r="D8" s="26">
        <v>-1.7005820899999999</v>
      </c>
      <c r="N8" s="23">
        <f>2*($B$13-$B$7)/5+$B$7</f>
        <v>2.6807772000000001E-2</v>
      </c>
      <c r="O8" s="26">
        <f>($C$5*[1]Params!K10)</f>
        <v>94.666000000000011</v>
      </c>
      <c r="P8" s="26">
        <f>(O8*N8)</f>
        <v>2.5377845441520002</v>
      </c>
      <c r="R8" s="1">
        <f>(B8)+B9</f>
        <v>5.043350000000002E-3</v>
      </c>
      <c r="S8" s="26">
        <v>0</v>
      </c>
      <c r="T8" s="26">
        <f>(D8)+D9</f>
        <v>5.8739100000000377E-3</v>
      </c>
    </row>
    <row r="9" spans="2:20">
      <c r="B9" s="23">
        <f>0.02974335</f>
        <v>2.9743350000000002E-2</v>
      </c>
      <c r="C9" s="26">
        <f>D9/B9</f>
        <v>57.372690029872217</v>
      </c>
      <c r="D9" s="26">
        <v>1.706456</v>
      </c>
      <c r="N9" s="23">
        <f>2*($B$13-$B$7)/5+$B$7</f>
        <v>2.6807772000000001E-2</v>
      </c>
      <c r="O9" s="26">
        <f>($C$5*[1]Params!K11)</f>
        <v>215.15</v>
      </c>
      <c r="P9" s="26">
        <f>(O9*N9)</f>
        <v>5.7676921457999999</v>
      </c>
      <c r="R9" s="1"/>
      <c r="S9" s="26"/>
      <c r="T9" s="26"/>
    </row>
    <row r="10" spans="2:20">
      <c r="R10" s="1"/>
      <c r="S10" s="26"/>
      <c r="T10" s="26"/>
    </row>
    <row r="11" spans="2:20">
      <c r="P11" s="26">
        <f>(SUM(P6:P9))</f>
        <v>11.572682386608001</v>
      </c>
      <c r="R11" s="1"/>
      <c r="S11" s="26"/>
      <c r="T11" s="27"/>
    </row>
    <row r="12" spans="2:20">
      <c r="F12" t="s">
        <v>12</v>
      </c>
      <c r="G12" s="26">
        <f>(D13/B13)</f>
        <v>36.337322120827778</v>
      </c>
    </row>
    <row r="13" spans="2:20">
      <c r="B13">
        <f>(SUM(B5:B12))</f>
        <v>0.10414443000000001</v>
      </c>
      <c r="D13" s="26">
        <f>(SUM(D5:D12))</f>
        <v>3.7843297000000007</v>
      </c>
    </row>
    <row r="22" spans="18:20">
      <c r="R22">
        <f>(SUM(R5:R21))</f>
        <v>0.10414443000000001</v>
      </c>
      <c r="T22" s="26">
        <f>(SUM(T5:T21))</f>
        <v>3.7843297000000002</v>
      </c>
    </row>
  </sheetData>
  <conditionalFormatting sqref="C5">
    <cfRule type="cellIs" dxfId="179" priority="13" operator="lessThan">
      <formula>$J$3</formula>
    </cfRule>
    <cfRule type="cellIs" dxfId="178" priority="14" operator="greaterThan">
      <formula>$J$3</formula>
    </cfRule>
  </conditionalFormatting>
  <conditionalFormatting sqref="O7:O9">
    <cfRule type="cellIs" dxfId="177" priority="11" operator="lessThan">
      <formula>$J$3</formula>
    </cfRule>
    <cfRule type="cellIs" dxfId="176" priority="12" operator="greaterThan">
      <formula>$J$3</formula>
    </cfRule>
  </conditionalFormatting>
  <conditionalFormatting sqref="G12">
    <cfRule type="cellIs" dxfId="175" priority="9" operator="lessThan">
      <formula>$J$3</formula>
    </cfRule>
    <cfRule type="cellIs" dxfId="174" priority="10" operator="greaterThan">
      <formula>$J$3</formula>
    </cfRule>
  </conditionalFormatting>
  <conditionalFormatting sqref="O3">
    <cfRule type="cellIs" dxfId="173" priority="5" operator="greaterThan">
      <formula>$J$3</formula>
    </cfRule>
    <cfRule type="cellIs" dxfId="172" priority="6" operator="lessThan">
      <formula>$J$3</formula>
    </cfRule>
  </conditionalFormatting>
  <conditionalFormatting sqref="S5">
    <cfRule type="cellIs" dxfId="171" priority="3" operator="lessThan">
      <formula>$J$3</formula>
    </cfRule>
    <cfRule type="cellIs" dxfId="170" priority="4" operator="greaterThan">
      <formula>$J$3</formula>
    </cfRule>
  </conditionalFormatting>
  <conditionalFormatting sqref="C9">
    <cfRule type="cellIs" dxfId="169" priority="1" operator="lessThan">
      <formula>$J$3</formula>
    </cfRule>
    <cfRule type="cellIs" dxfId="168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2:W37"/>
  <sheetViews>
    <sheetView workbookViewId="0">
      <selection activeCell="P11" sqref="P11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18" width="9.28515625" style="25" bestFit="1" customWidth="1"/>
    <col min="19" max="19" width="9.140625" style="25" customWidth="1"/>
    <col min="20" max="20" width="10.28515625" style="25" bestFit="1" customWidth="1"/>
    <col min="21" max="23" width="9.140625" style="25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47">
        <v>0.29276049009913357</v>
      </c>
      <c r="M3" t="s">
        <v>4</v>
      </c>
      <c r="N3" s="37">
        <f>(INDEX(N5:N29,MATCH(MAX(O6:O8),O5:O29,0))/0.85)</f>
        <v>18.528963141176472</v>
      </c>
      <c r="O3" s="55">
        <f>(MAX(O6:O8)*0.75)</f>
        <v>0.10405335099087169</v>
      </c>
      <c r="P3" s="26">
        <f>(O3*N3)</f>
        <v>1.9280007052257599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6">
        <f>(B14*J3)</f>
        <v>7.8861851481639818</v>
      </c>
      <c r="K4" s="4">
        <f>(J4/D14-1)</f>
        <v>-13.070882470330883</v>
      </c>
      <c r="R4" t="s">
        <v>5</v>
      </c>
      <c r="S4" t="s">
        <v>6</v>
      </c>
      <c r="T4" t="s">
        <v>7</v>
      </c>
    </row>
    <row r="5" spans="2:20">
      <c r="B5" s="18">
        <v>63.429000000000002</v>
      </c>
      <c r="C5" s="47">
        <f t="shared" ref="C5:C10" si="0">(D5/B5)</f>
        <v>6.3062636964164656E-2</v>
      </c>
      <c r="D5" s="26">
        <v>4</v>
      </c>
      <c r="E5" t="s">
        <v>78</v>
      </c>
      <c r="N5" t="s">
        <v>30</v>
      </c>
      <c r="O5" t="s">
        <v>1</v>
      </c>
      <c r="P5" t="s">
        <v>2</v>
      </c>
      <c r="R5" s="37">
        <f>(B5)</f>
        <v>63.429000000000002</v>
      </c>
      <c r="S5" s="26">
        <f>(C5)</f>
        <v>6.3062636964164656E-2</v>
      </c>
      <c r="T5" s="26">
        <f>(R5*S5)</f>
        <v>4</v>
      </c>
    </row>
    <row r="6" spans="2:20">
      <c r="B6" s="18">
        <v>-12.25728155</v>
      </c>
      <c r="C6" s="47">
        <f t="shared" si="0"/>
        <v>8.0228066556894906E-2</v>
      </c>
      <c r="D6" s="26">
        <v>-0.98337799999999997</v>
      </c>
      <c r="M6" t="s">
        <v>10</v>
      </c>
      <c r="N6" s="37">
        <f>(-B6)</f>
        <v>12.25728155</v>
      </c>
      <c r="O6" s="26">
        <f>(C6)</f>
        <v>8.0228066556894906E-2</v>
      </c>
      <c r="P6" s="26">
        <f>(O6*N6)</f>
        <v>0.98337799999999997</v>
      </c>
      <c r="Q6" t="s">
        <v>11</v>
      </c>
      <c r="R6" s="37">
        <f>B6</f>
        <v>-12.25728155</v>
      </c>
      <c r="S6" s="26">
        <f>(C6)</f>
        <v>8.0228066556894906E-2</v>
      </c>
      <c r="T6" s="26">
        <f>D6</f>
        <v>-0.98337799999999997</v>
      </c>
    </row>
    <row r="7" spans="2:20">
      <c r="B7" s="18">
        <v>-12.70325203</v>
      </c>
      <c r="C7" s="47">
        <f t="shared" si="0"/>
        <v>9.5823336979011353E-2</v>
      </c>
      <c r="D7" s="26">
        <v>-1.217268</v>
      </c>
      <c r="N7" s="37">
        <f>-B11</f>
        <v>12.55901794</v>
      </c>
      <c r="O7" s="26">
        <f>($C$5*[1]Params!K9)</f>
        <v>0.10090021914266345</v>
      </c>
      <c r="P7" s="26">
        <f>-D11</f>
        <v>1.2941590000000001</v>
      </c>
      <c r="Q7" t="s">
        <v>11</v>
      </c>
      <c r="R7" s="37">
        <f>B7+B10+B8+B9</f>
        <v>4.1808636000000003</v>
      </c>
      <c r="S7" s="26">
        <f>(C7)</f>
        <v>9.5823336979011353E-2</v>
      </c>
      <c r="T7" s="26">
        <f>D7+D10+D8+D9</f>
        <v>-0.17389399999999999</v>
      </c>
    </row>
    <row r="8" spans="2:20">
      <c r="B8" s="18">
        <v>-12.62063846</v>
      </c>
      <c r="C8" s="47">
        <f t="shared" si="0"/>
        <v>0.13122973178014641</v>
      </c>
      <c r="D8" s="26">
        <v>-1.6562030000000001</v>
      </c>
      <c r="N8" s="37">
        <f>3*($B$5+$R$7)/5-N7-N6</f>
        <v>15.749618670000002</v>
      </c>
      <c r="O8" s="26">
        <f>($C$5*[1]Params!K10)</f>
        <v>0.13873780132116226</v>
      </c>
      <c r="P8" s="26">
        <f>(O8*N8)</f>
        <v>2.1850674659225282</v>
      </c>
      <c r="Q8" t="s">
        <v>11</v>
      </c>
      <c r="R8" s="37">
        <f>B11</f>
        <v>-12.55901794</v>
      </c>
      <c r="S8" s="26">
        <f>T8/R8</f>
        <v>0.10304619407208204</v>
      </c>
      <c r="T8" s="26">
        <f>D11</f>
        <v>-1.2941590000000001</v>
      </c>
    </row>
    <row r="9" spans="2:20">
      <c r="B9" s="18">
        <v>15.037158760000001</v>
      </c>
      <c r="C9" s="47">
        <f t="shared" si="0"/>
        <v>0.103022321219411</v>
      </c>
      <c r="D9" s="26">
        <v>1.5491630000000001</v>
      </c>
      <c r="N9" s="37">
        <f>4*($R$5+$R$7)/5+B12-N7-N6</f>
        <v>13.415354599999992</v>
      </c>
      <c r="O9" s="26">
        <f>($C$5*[1]Params!K11)</f>
        <v>0.31531318482082327</v>
      </c>
      <c r="P9" s="26">
        <f>(O9*N9)</f>
        <v>4.2300381844266788</v>
      </c>
      <c r="R9" s="23">
        <f>B12</f>
        <v>-15.856236790000001</v>
      </c>
      <c r="S9" s="26">
        <f>T9/R9</f>
        <v>0.13886598876907916</v>
      </c>
      <c r="T9" s="26">
        <f>D12</f>
        <v>-2.201892</v>
      </c>
    </row>
    <row r="10" spans="2:20">
      <c r="B10" s="18">
        <v>14.46759533</v>
      </c>
      <c r="C10" s="47">
        <f t="shared" si="0"/>
        <v>7.9516600634695803E-2</v>
      </c>
      <c r="D10" s="26">
        <v>1.150414</v>
      </c>
      <c r="N10" s="37"/>
      <c r="O10" s="26"/>
      <c r="P10" s="26"/>
      <c r="R10" s="23"/>
      <c r="S10" s="26"/>
      <c r="T10" s="26"/>
    </row>
    <row r="11" spans="2:20">
      <c r="B11" s="18">
        <v>-12.55901794</v>
      </c>
      <c r="C11" s="47">
        <f>D11/B11</f>
        <v>0.10304619407208204</v>
      </c>
      <c r="D11" s="26">
        <f>-1.294159</f>
        <v>-1.2941590000000001</v>
      </c>
      <c r="N11" s="37"/>
      <c r="O11" s="26"/>
      <c r="P11" s="26">
        <f>(SUM(P6:P9))</f>
        <v>8.6926426503492067</v>
      </c>
      <c r="R11" s="23"/>
      <c r="S11" s="26"/>
      <c r="T11" s="26"/>
    </row>
    <row r="12" spans="2:20">
      <c r="B12" s="18">
        <v>-15.856236790000001</v>
      </c>
      <c r="C12" s="47">
        <f>D12/B12</f>
        <v>0.13886598876907916</v>
      </c>
      <c r="D12" s="26">
        <v>-2.201892</v>
      </c>
      <c r="N12" s="37"/>
      <c r="O12" s="26"/>
      <c r="P12" s="26"/>
      <c r="R12" s="23"/>
      <c r="S12" s="26"/>
      <c r="T12" s="26"/>
    </row>
    <row r="13" spans="2:20">
      <c r="C13" s="26"/>
      <c r="D13" s="26"/>
      <c r="F13" t="s">
        <v>12</v>
      </c>
      <c r="G13" s="26">
        <f>(D14/B14)</f>
        <v>-2.4253445497353809E-2</v>
      </c>
      <c r="O13" s="26"/>
      <c r="R13" s="23"/>
      <c r="S13" s="26"/>
      <c r="T13" s="26"/>
    </row>
    <row r="14" spans="2:20">
      <c r="B14" s="18">
        <f>(SUM(B5:B13))</f>
        <v>26.937327320000005</v>
      </c>
      <c r="C14" s="26"/>
      <c r="D14" s="26">
        <f>(SUM(D5:D13))</f>
        <v>-0.65332299999999988</v>
      </c>
      <c r="O14" s="26"/>
      <c r="R14" s="23"/>
      <c r="S14" s="26"/>
      <c r="T14" s="26"/>
    </row>
    <row r="15" spans="2:20">
      <c r="R15" s="23"/>
      <c r="S15" s="26"/>
      <c r="T15" s="26"/>
    </row>
    <row r="16" spans="2:20">
      <c r="R16" s="23"/>
      <c r="S16" s="26"/>
      <c r="T16" s="26"/>
    </row>
    <row r="17" spans="12:22">
      <c r="R17" s="23"/>
      <c r="S17" s="26"/>
      <c r="T17" s="26"/>
    </row>
    <row r="18" spans="12:22">
      <c r="R18" s="23"/>
      <c r="S18" s="26"/>
      <c r="T18" s="26"/>
    </row>
    <row r="19" spans="12:22">
      <c r="R19" s="23"/>
      <c r="S19" s="26"/>
      <c r="T19" s="26"/>
    </row>
    <row r="20" spans="12:22">
      <c r="R20" s="23"/>
      <c r="S20" s="26"/>
      <c r="T20" s="26"/>
    </row>
    <row r="21" spans="12:22">
      <c r="R21" s="23"/>
      <c r="S21" s="26"/>
      <c r="T21" s="26"/>
    </row>
    <row r="22" spans="12:22">
      <c r="R22" s="23"/>
      <c r="S22" s="26"/>
      <c r="T22" s="26"/>
    </row>
    <row r="23" spans="12:22">
      <c r="R23" s="23"/>
      <c r="S23" s="26"/>
      <c r="T23" s="26"/>
    </row>
    <row r="24" spans="12:22">
      <c r="R24" s="23"/>
      <c r="S24" s="26"/>
      <c r="T24" s="26"/>
      <c r="V24" s="27"/>
    </row>
    <row r="26" spans="12:22">
      <c r="S26" s="26"/>
      <c r="T26" s="26"/>
    </row>
    <row r="27" spans="12:22">
      <c r="L27" s="27"/>
      <c r="M27" s="27"/>
      <c r="S27" s="26"/>
      <c r="T27" s="26"/>
    </row>
    <row r="28" spans="12:22">
      <c r="S28" s="26"/>
      <c r="T28" s="26"/>
    </row>
    <row r="29" spans="12:22">
      <c r="S29" s="26"/>
      <c r="T29" s="26"/>
    </row>
    <row r="30" spans="12:22">
      <c r="S30" s="26"/>
      <c r="T30" s="26"/>
    </row>
    <row r="31" spans="12:22">
      <c r="S31" s="26"/>
      <c r="T31" s="26"/>
    </row>
    <row r="32" spans="12:22">
      <c r="S32" s="26"/>
      <c r="T32" s="26"/>
    </row>
    <row r="33" spans="18:23">
      <c r="R33" s="23">
        <f>(SUM(R5:R31))</f>
        <v>26.937327320000005</v>
      </c>
      <c r="S33" s="26"/>
      <c r="T33" s="26">
        <f>(SUM(T5:T31))</f>
        <v>-0.65332299999999988</v>
      </c>
      <c r="V33" t="s">
        <v>12</v>
      </c>
      <c r="W33" s="26">
        <f>(T33/R33)</f>
        <v>-2.4253445497353809E-2</v>
      </c>
    </row>
    <row r="34" spans="18:23">
      <c r="S34" s="26"/>
      <c r="T34" s="26"/>
    </row>
    <row r="35" spans="18:23">
      <c r="S35" s="26"/>
      <c r="T35" s="26"/>
    </row>
    <row r="36" spans="18:23">
      <c r="S36" s="26"/>
      <c r="T36" s="26"/>
    </row>
    <row r="37" spans="18:23">
      <c r="S37" s="26"/>
      <c r="T37" s="26"/>
    </row>
  </sheetData>
  <conditionalFormatting sqref="C5 C9:C10 G13 O9 S5">
    <cfRule type="cellIs" dxfId="167" priority="23" operator="lessThan">
      <formula>$J$3</formula>
    </cfRule>
    <cfRule type="cellIs" dxfId="166" priority="24" operator="greaterThan">
      <formula>$J$3</formula>
    </cfRule>
  </conditionalFormatting>
  <conditionalFormatting sqref="O3">
    <cfRule type="cellIs" dxfId="165" priority="17" operator="greaterThan">
      <formula>$J$3</formula>
    </cfRule>
    <cfRule type="cellIs" dxfId="164" priority="18" operator="lessThan">
      <formula>$J$3</formula>
    </cfRule>
  </conditionalFormatting>
  <conditionalFormatting sqref="W33">
    <cfRule type="cellIs" dxfId="163" priority="1" operator="lessThan">
      <formula>$J$3</formula>
    </cfRule>
    <cfRule type="cellIs" dxfId="162" priority="2" operator="greaterThan">
      <formula>$J$3</formula>
    </cfRule>
    <cfRule type="cellIs" dxfId="161" priority="3" operator="lessThan">
      <formula>$J$3</formula>
    </cfRule>
    <cfRule type="cellIs" dxfId="160" priority="4" operator="greaterThan">
      <formula>$J$3</formula>
    </cfRule>
    <cfRule type="cellIs" dxfId="159" priority="5" operator="lessThan">
      <formula>$J$3</formula>
    </cfRule>
    <cfRule type="cellIs" dxfId="158" priority="6" operator="greaterThan">
      <formula>$J$3</formula>
    </cfRule>
    <cfRule type="cellIs" dxfId="157" priority="7" operator="lessThan">
      <formula>$J$3</formula>
    </cfRule>
    <cfRule type="cellIs" dxfId="156" priority="8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P11" sqref="P11"/>
    </sheetView>
  </sheetViews>
  <sheetFormatPr baseColWidth="10" defaultColWidth="9.140625" defaultRowHeight="15"/>
  <cols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19" width="9.140625" style="25" customWidth="1"/>
    <col min="20" max="20" width="10.28515625" style="25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12.420810946456269</v>
      </c>
      <c r="M3" t="s">
        <v>4</v>
      </c>
      <c r="N3" s="23">
        <f>(INDEX(N5:N19,MATCH(MAX(O6:O8),O5:O19,0))/0.85)</f>
        <v>0.62352941176470589</v>
      </c>
      <c r="O3" s="27">
        <f>(MAX(O6:O8)*0.75)</f>
        <v>8.0377360613207536</v>
      </c>
      <c r="P3" s="47">
        <f>(O3*N3)</f>
        <v>5.0117648382352931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(B13*J3)</f>
        <v>13.817687763811305</v>
      </c>
      <c r="K4" s="4">
        <f>(J4/D13-1)</f>
        <v>-286.05835419150293</v>
      </c>
      <c r="R4" t="s">
        <v>5</v>
      </c>
      <c r="S4" t="s">
        <v>6</v>
      </c>
      <c r="T4" t="s">
        <v>7</v>
      </c>
    </row>
    <row r="5" spans="2:21">
      <c r="B5" s="1">
        <v>2.5205032599999999</v>
      </c>
      <c r="C5" s="26">
        <f>(D5/B5)</f>
        <v>5.1418302867023478</v>
      </c>
      <c r="D5" s="26">
        <v>12.96</v>
      </c>
      <c r="E5" t="s">
        <v>80</v>
      </c>
      <c r="M5" t="s">
        <v>80</v>
      </c>
      <c r="N5" t="s">
        <v>30</v>
      </c>
      <c r="O5" t="s">
        <v>1</v>
      </c>
      <c r="P5" t="s">
        <v>2</v>
      </c>
      <c r="R5" s="1">
        <f>(B5)+B7+B8+B11</f>
        <v>1.0550032599999997</v>
      </c>
      <c r="S5" s="26">
        <f>(T5/R5)</f>
        <v>5.7688612734713267</v>
      </c>
      <c r="T5" s="26">
        <f>(D5)+(B7)*4.615+(B8)*4.6733+B11*4.7693</f>
        <v>6.0861674499999996</v>
      </c>
    </row>
    <row r="6" spans="2:21">
      <c r="B6" s="2">
        <v>2.36914E-3</v>
      </c>
      <c r="C6" s="29">
        <v>0</v>
      </c>
      <c r="D6" s="30">
        <f>(B6*C6)</f>
        <v>0</v>
      </c>
      <c r="E6" s="26">
        <f>(B6*J3)</f>
        <v>2.9426640045687406E-2</v>
      </c>
      <c r="M6" t="s">
        <v>10</v>
      </c>
      <c r="N6" s="23">
        <f>-B7</f>
        <v>0.442</v>
      </c>
      <c r="O6" s="26">
        <f>P6/N6</f>
        <v>6.1223448642533933</v>
      </c>
      <c r="P6" s="26">
        <f>-D7</f>
        <v>2.70607643</v>
      </c>
      <c r="Q6" t="s">
        <v>11</v>
      </c>
      <c r="R6" s="2">
        <f>(B6)</f>
        <v>2.36914E-3</v>
      </c>
      <c r="S6" s="29">
        <f>(T6/R6)</f>
        <v>0</v>
      </c>
      <c r="T6" s="30">
        <f>(D6)</f>
        <v>0</v>
      </c>
    </row>
    <row r="7" spans="2:21">
      <c r="B7" s="1">
        <v>-0.442</v>
      </c>
      <c r="C7" s="27">
        <f>D7/B7</f>
        <v>6.1223448642533933</v>
      </c>
      <c r="D7" s="26">
        <v>-2.70607643</v>
      </c>
      <c r="N7" s="23">
        <f>-B8</f>
        <v>0.49349999999999999</v>
      </c>
      <c r="O7" s="26">
        <f>P7/N7</f>
        <v>8.779363809523808</v>
      </c>
      <c r="P7" s="26">
        <f>-D8</f>
        <v>4.3326160399999996</v>
      </c>
      <c r="Q7" t="s">
        <v>11</v>
      </c>
      <c r="R7" s="1">
        <f>(B7)-B7</f>
        <v>0</v>
      </c>
      <c r="S7" s="26">
        <v>0</v>
      </c>
      <c r="T7" s="26">
        <f>(D7)-B7*4.615</f>
        <v>-0.66624642999999972</v>
      </c>
    </row>
    <row r="8" spans="2:21">
      <c r="B8">
        <v>-0.49349999999999999</v>
      </c>
      <c r="C8" s="27">
        <f>D8/B8</f>
        <v>8.779363809523808</v>
      </c>
      <c r="D8" s="26">
        <v>-4.3326160399999996</v>
      </c>
      <c r="N8" s="23">
        <f>-B11</f>
        <v>0.53</v>
      </c>
      <c r="O8" s="26">
        <f>P8/N8</f>
        <v>10.716981415094338</v>
      </c>
      <c r="P8" s="26">
        <f>-D11</f>
        <v>5.6800001499999997</v>
      </c>
      <c r="Q8" t="s">
        <v>11</v>
      </c>
      <c r="R8" s="1">
        <f>(B8)-B8</f>
        <v>0</v>
      </c>
      <c r="S8" s="26">
        <v>0</v>
      </c>
      <c r="T8" s="26">
        <f>(D8)-B8*4.6733</f>
        <v>-2.0263424899999993</v>
      </c>
    </row>
    <row r="9" spans="2:21">
      <c r="B9">
        <v>-0.46779999999999999</v>
      </c>
      <c r="C9" s="27">
        <f>D9/B9</f>
        <v>11.115392411286875</v>
      </c>
      <c r="D9" s="26">
        <v>-5.1997805699999997</v>
      </c>
      <c r="N9" s="23">
        <f>B13/2</f>
        <v>0.55623130499999973</v>
      </c>
      <c r="O9" s="26">
        <f>($S$5*[1]Params!K11)</f>
        <v>28.844306367356634</v>
      </c>
      <c r="P9" s="26">
        <f>(O9*N9)</f>
        <v>16.044106172534583</v>
      </c>
      <c r="R9" s="1">
        <f>(B9)+B10</f>
        <v>5.5090210000000028E-2</v>
      </c>
      <c r="S9" s="26">
        <v>0</v>
      </c>
      <c r="T9" s="26">
        <f>(D9)+D10</f>
        <v>-0.28978056999999957</v>
      </c>
      <c r="U9" s="27"/>
    </row>
    <row r="10" spans="2:21">
      <c r="B10" s="1">
        <v>0.52289021000000002</v>
      </c>
      <c r="C10" s="26">
        <f>(D10/B10)</f>
        <v>9.3901165217837992</v>
      </c>
      <c r="D10" s="26">
        <v>4.91</v>
      </c>
      <c r="R10" s="1">
        <f>B11-B11</f>
        <v>0</v>
      </c>
      <c r="S10" s="26">
        <v>0</v>
      </c>
      <c r="T10" s="26">
        <f>(D11)-B11*4.7693</f>
        <v>-3.1522711499999994</v>
      </c>
    </row>
    <row r="11" spans="2:21">
      <c r="B11" s="1">
        <v>-0.53</v>
      </c>
      <c r="C11" s="26">
        <f>(D11/B11)</f>
        <v>10.716981415094338</v>
      </c>
      <c r="D11" s="26">
        <f>-5.68000015</f>
        <v>-5.6800001499999997</v>
      </c>
      <c r="P11" s="26">
        <f>(SUM(P6:P9))</f>
        <v>28.762798792534582</v>
      </c>
      <c r="R11" s="1"/>
      <c r="S11" s="26"/>
      <c r="T11" s="26"/>
    </row>
    <row r="12" spans="2:21">
      <c r="F12" t="s">
        <v>12</v>
      </c>
      <c r="G12" s="26">
        <f>(D13/B13)</f>
        <v>-4.3572871181708772E-2</v>
      </c>
      <c r="R12" s="1"/>
      <c r="S12" s="26"/>
      <c r="T12" s="26"/>
    </row>
    <row r="13" spans="2:21">
      <c r="B13">
        <f>(SUM(B5:B12))</f>
        <v>1.1124626099999995</v>
      </c>
      <c r="D13" s="26">
        <f>(SUM(D5:D12))</f>
        <v>-4.8473189999997501E-2</v>
      </c>
      <c r="R13" s="1"/>
      <c r="S13" s="26"/>
      <c r="T13" s="26"/>
    </row>
    <row r="14" spans="2:21">
      <c r="R14" s="1"/>
      <c r="S14" s="26"/>
      <c r="T14" s="27"/>
    </row>
    <row r="15" spans="2:21">
      <c r="P15" s="26"/>
    </row>
    <row r="25" spans="18:20">
      <c r="R25">
        <f>(SUM(R5:R24))</f>
        <v>1.1124626099999997</v>
      </c>
      <c r="T25" s="26">
        <f>(SUM(T5:T24))</f>
        <v>-4.8473189999997945E-2</v>
      </c>
    </row>
  </sheetData>
  <conditionalFormatting sqref="C5 C10 G12 O9 S5">
    <cfRule type="cellIs" dxfId="155" priority="11" operator="lessThan">
      <formula>$J$3</formula>
    </cfRule>
    <cfRule type="cellIs" dxfId="154" priority="12" operator="greaterThan">
      <formula>$J$3</formula>
    </cfRule>
  </conditionalFormatting>
  <conditionalFormatting sqref="O3">
    <cfRule type="cellIs" dxfId="153" priority="3" operator="greaterThan">
      <formula>$J$3</formula>
    </cfRule>
    <cfRule type="cellIs" dxfId="152" priority="4" operator="less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2:AA77"/>
  <sheetViews>
    <sheetView tabSelected="1" workbookViewId="0">
      <selection activeCell="G25" sqref="G25"/>
    </sheetView>
  </sheetViews>
  <sheetFormatPr baseColWidth="10" defaultColWidth="9.140625" defaultRowHeight="15"/>
  <cols>
    <col min="2" max="2" width="11.7109375" style="25" bestFit="1" customWidth="1"/>
    <col min="3" max="3" width="11.5703125" style="25" bestFit="1" customWidth="1"/>
    <col min="5" max="5" width="9.85546875" style="25" bestFit="1" customWidth="1"/>
    <col min="7" max="7" width="11.5703125" style="25" bestFit="1" customWidth="1"/>
    <col min="9" max="9" width="12.42578125" style="25" bestFit="1" customWidth="1"/>
    <col min="10" max="10" width="11.5703125" style="25" bestFit="1" customWidth="1"/>
    <col min="12" max="12" width="9.140625" style="25" customWidth="1"/>
    <col min="14" max="14" width="12" style="25" bestFit="1" customWidth="1"/>
    <col min="15" max="15" width="12.5703125" style="25" bestFit="1" customWidth="1"/>
    <col min="20" max="20" width="11.5703125" style="25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51485.886487388423</v>
      </c>
      <c r="M3" t="s">
        <v>4</v>
      </c>
      <c r="N3">
        <f>(INDEX((N8:N67),MATCH(O3/0.85,O8:O67,0))/0.9)</f>
        <v>2.047422222222222E-4</v>
      </c>
      <c r="O3" s="27">
        <f>(MAX(O8,O16:O18,O48,O24,O32,O40,O56,O64)*0.85)</f>
        <v>19471.8</v>
      </c>
      <c r="P3" s="32">
        <f>(O3*N3)</f>
        <v>3.9866996026666661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(B39*J3)</f>
        <v>1369.2641139277025</v>
      </c>
      <c r="K4" s="4">
        <f>(J4/D39-1)</f>
        <v>0.74111739999291304</v>
      </c>
      <c r="L4" s="4"/>
      <c r="S4" t="s">
        <v>5</v>
      </c>
      <c r="T4" t="s">
        <v>6</v>
      </c>
      <c r="U4" t="s">
        <v>7</v>
      </c>
    </row>
    <row r="5" spans="2:21">
      <c r="B5" s="23">
        <v>3.9998300000000002E-3</v>
      </c>
      <c r="C5" s="26">
        <v>41500</v>
      </c>
      <c r="D5" s="26">
        <f>(B5*C5)</f>
        <v>165.99294500000002</v>
      </c>
      <c r="S5" s="23">
        <f t="shared" ref="S5:S10" si="0">(B5)</f>
        <v>3.9998300000000002E-3</v>
      </c>
      <c r="T5" s="26">
        <v>41500</v>
      </c>
      <c r="U5" s="26">
        <f>(S5*T5)</f>
        <v>165.99294500000002</v>
      </c>
    </row>
    <row r="6" spans="2:21">
      <c r="B6" s="24">
        <v>3.5659999999999999E-4</v>
      </c>
      <c r="C6" s="29">
        <v>0</v>
      </c>
      <c r="D6" s="30">
        <f>(B6*C6)</f>
        <v>0</v>
      </c>
      <c r="E6" s="26">
        <f>(B6*J3)</f>
        <v>18.359867121402711</v>
      </c>
      <c r="I6" t="s">
        <v>10</v>
      </c>
      <c r="J6">
        <v>3.5000000000000003E-2</v>
      </c>
      <c r="S6" s="23">
        <f t="shared" si="0"/>
        <v>3.5659999999999999E-4</v>
      </c>
      <c r="T6" s="26">
        <v>0</v>
      </c>
      <c r="U6" s="26">
        <f>(S6*T6)</f>
        <v>0</v>
      </c>
    </row>
    <row r="7" spans="2:21">
      <c r="B7" s="23">
        <v>5.1073000000000004E-4</v>
      </c>
      <c r="C7" s="26">
        <f>D7/B7</f>
        <v>30544.514714232566</v>
      </c>
      <c r="D7" s="26">
        <v>15.6</v>
      </c>
      <c r="I7" t="s">
        <v>13</v>
      </c>
      <c r="J7" s="33">
        <f>(J6-B39)</f>
        <v>8.4050589910089936E-3</v>
      </c>
      <c r="N7" t="s">
        <v>0</v>
      </c>
      <c r="O7" t="s">
        <v>1</v>
      </c>
      <c r="P7" t="s">
        <v>2</v>
      </c>
      <c r="S7" s="23">
        <f t="shared" si="0"/>
        <v>5.1073000000000004E-4</v>
      </c>
      <c r="T7" s="26">
        <f>(U7/S7)</f>
        <v>30544.514714232566</v>
      </c>
      <c r="U7" s="26" t="s">
        <v>20</v>
      </c>
    </row>
    <row r="8" spans="2:21">
      <c r="B8" s="23">
        <v>4.9108299999999997E-3</v>
      </c>
      <c r="C8" s="26">
        <f>D8/B8</f>
        <v>21381.314360301621</v>
      </c>
      <c r="D8" s="26">
        <v>105</v>
      </c>
      <c r="I8" t="s">
        <v>14</v>
      </c>
      <c r="J8" s="32">
        <f>(J7*J3)</f>
        <v>432.7419131308925</v>
      </c>
      <c r="M8" t="s">
        <v>10</v>
      </c>
      <c r="N8">
        <f>($B$16/5)</f>
        <v>3.3600000000000004E-4</v>
      </c>
      <c r="O8" s="26">
        <f>(C26)</f>
        <v>20979.026577380951</v>
      </c>
      <c r="P8" s="32">
        <f>(O8*N8)</f>
        <v>7.0489529300000004</v>
      </c>
      <c r="Q8" t="s">
        <v>11</v>
      </c>
      <c r="S8" s="23">
        <f t="shared" si="0"/>
        <v>4.9108299999999997E-3</v>
      </c>
      <c r="T8" s="26">
        <f>(U8/S8)</f>
        <v>21381.314360301621</v>
      </c>
      <c r="U8" s="26" t="s">
        <v>21</v>
      </c>
    </row>
    <row r="9" spans="2:21">
      <c r="B9" s="23">
        <v>2E-3</v>
      </c>
      <c r="C9" s="26">
        <f>D9/B9</f>
        <v>21750</v>
      </c>
      <c r="D9" s="26">
        <v>43.5</v>
      </c>
      <c r="N9">
        <f>($B$16/5)</f>
        <v>3.3600000000000004E-4</v>
      </c>
      <c r="O9" s="26">
        <f>($C$16*[1]Params!K16)</f>
        <v>33240.04</v>
      </c>
      <c r="P9" s="32">
        <f>(O9*N9)</f>
        <v>11.168653440000002</v>
      </c>
      <c r="S9" s="23">
        <f t="shared" si="0"/>
        <v>2E-3</v>
      </c>
      <c r="T9" s="26">
        <f>(U9/S9)</f>
        <v>21750</v>
      </c>
      <c r="U9" s="26" t="s">
        <v>22</v>
      </c>
    </row>
    <row r="10" spans="2:21">
      <c r="B10" s="23">
        <v>6.9999999999999999E-4</v>
      </c>
      <c r="C10" s="26">
        <v>20458</v>
      </c>
      <c r="D10" s="26">
        <f t="shared" ref="D10:D16" si="1">(C10*B10)</f>
        <v>14.320600000000001</v>
      </c>
      <c r="N10">
        <f>($B$16/5)</f>
        <v>3.3600000000000004E-4</v>
      </c>
      <c r="O10" s="26">
        <f>($C$16*[1]Params!K17)</f>
        <v>66480.08</v>
      </c>
      <c r="P10" s="32">
        <f>(O10*N10)</f>
        <v>22.337306880000003</v>
      </c>
      <c r="S10" s="23">
        <f t="shared" si="0"/>
        <v>6.9999999999999999E-4</v>
      </c>
      <c r="T10" s="26">
        <v>20458</v>
      </c>
      <c r="U10" s="26">
        <f>(T10*S10)</f>
        <v>14.320600000000001</v>
      </c>
    </row>
    <row r="11" spans="2:21">
      <c r="B11" s="23">
        <v>5.1000000000000004E-4</v>
      </c>
      <c r="C11" s="26">
        <v>19873.310000000001</v>
      </c>
      <c r="D11" s="26">
        <f t="shared" si="1"/>
        <v>10.135388100000002</v>
      </c>
      <c r="N11">
        <f>($B$16/5)</f>
        <v>3.3600000000000004E-4</v>
      </c>
      <c r="O11" s="26">
        <f>($C$16*[1]Params!K18)</f>
        <v>132960.16</v>
      </c>
      <c r="P11" s="32">
        <f>(O11*N11)</f>
        <v>44.674613760000007</v>
      </c>
      <c r="S11" s="23">
        <f>(B12)</f>
        <v>6.4000000000000005E-4</v>
      </c>
      <c r="T11" s="26">
        <v>19169.310000000001</v>
      </c>
      <c r="U11" s="26">
        <f>(T11*S11)</f>
        <v>12.268358400000002</v>
      </c>
    </row>
    <row r="12" spans="2:21">
      <c r="B12" s="23">
        <v>6.4000000000000005E-4</v>
      </c>
      <c r="C12" s="26">
        <v>19169.310000000001</v>
      </c>
      <c r="D12" s="26">
        <f t="shared" si="1"/>
        <v>12.268358400000002</v>
      </c>
      <c r="S12" s="23">
        <f>(B13+B11+B14)</f>
        <v>5.5000000000000003E-4</v>
      </c>
      <c r="T12" s="26">
        <f>(U12/S12)</f>
        <v>18256.087454545454</v>
      </c>
      <c r="U12" s="26">
        <f>(D13+D11+D14)</f>
        <v>10.0408481</v>
      </c>
    </row>
    <row r="13" spans="2:21">
      <c r="B13" s="23">
        <v>-5.0000000000000001E-4</v>
      </c>
      <c r="C13" s="26">
        <v>20709.080000000002</v>
      </c>
      <c r="D13" s="26">
        <f t="shared" si="1"/>
        <v>-10.354540000000002</v>
      </c>
      <c r="P13" s="32">
        <f>(SUM(P8:P11))</f>
        <v>85.229527010000012</v>
      </c>
      <c r="S13" s="23">
        <f>(B15)</f>
        <v>2.5799999999999998E-3</v>
      </c>
      <c r="T13" s="26">
        <v>18969</v>
      </c>
      <c r="U13" s="26">
        <f>(T13*S13)</f>
        <v>48.940019999999997</v>
      </c>
    </row>
    <row r="14" spans="2:21">
      <c r="B14" s="23">
        <v>5.4000000000000001E-4</v>
      </c>
      <c r="C14" s="26">
        <v>19000</v>
      </c>
      <c r="D14" s="26">
        <f t="shared" si="1"/>
        <v>10.26</v>
      </c>
      <c r="S14" s="23">
        <f>(B16+B26)</f>
        <v>1.3440000000000001E-3</v>
      </c>
      <c r="T14" s="26">
        <f t="shared" ref="T14:T21" si="2">(U14/S14)</f>
        <v>15530.268355654764</v>
      </c>
      <c r="U14" s="26">
        <f>(D16+D26)</f>
        <v>20.872680670000005</v>
      </c>
    </row>
    <row r="15" spans="2:21">
      <c r="B15" s="23">
        <v>2.5799999999999998E-3</v>
      </c>
      <c r="C15" s="26">
        <v>18969</v>
      </c>
      <c r="D15" s="26">
        <f t="shared" si="1"/>
        <v>48.940019999999997</v>
      </c>
      <c r="N15" t="s">
        <v>0</v>
      </c>
      <c r="O15" t="s">
        <v>1</v>
      </c>
      <c r="P15" t="s">
        <v>2</v>
      </c>
      <c r="S15" s="23">
        <f>(B17+B18+B21+B33)</f>
        <v>3.7333999999999989E-4</v>
      </c>
      <c r="T15" s="26">
        <f t="shared" si="2"/>
        <v>93.555472223709913</v>
      </c>
      <c r="U15" s="26">
        <f>(D17+D18+D21+D33)</f>
        <v>3.4927999999999848E-2</v>
      </c>
    </row>
    <row r="16" spans="2:21">
      <c r="B16" s="23">
        <v>1.6800000000000001E-3</v>
      </c>
      <c r="C16" s="26">
        <v>16620.02</v>
      </c>
      <c r="D16" s="26">
        <f t="shared" si="1"/>
        <v>27.921633600000003</v>
      </c>
      <c r="M16" t="s">
        <v>10</v>
      </c>
      <c r="N16">
        <f>($B$17/5)</f>
        <v>1.8426799999999999E-4</v>
      </c>
      <c r="O16" s="26">
        <f>(C18)</f>
        <v>16444.444444444442</v>
      </c>
      <c r="P16" s="32">
        <f>(O16*N16)</f>
        <v>3.030184888888888</v>
      </c>
      <c r="Q16" t="s">
        <v>11</v>
      </c>
      <c r="S16" s="23">
        <f>(B19+B27)</f>
        <v>4.7999999999999898E-4</v>
      </c>
      <c r="T16" s="26">
        <f t="shared" si="2"/>
        <v>15650.000000000033</v>
      </c>
      <c r="U16" s="26">
        <f>(D19+D27)</f>
        <v>7.5119999999999996</v>
      </c>
    </row>
    <row r="17" spans="2:27">
      <c r="B17" s="23">
        <v>9.2133999999999998E-4</v>
      </c>
      <c r="C17" s="26">
        <f t="shared" ref="C17:C26" si="3">(D17/B17)</f>
        <v>11244.491718583802</v>
      </c>
      <c r="D17" s="26">
        <v>10.36</v>
      </c>
      <c r="N17">
        <f>($B$17/5)</f>
        <v>1.8426799999999999E-4</v>
      </c>
      <c r="O17" s="26">
        <f>(C21)</f>
        <v>17119.565217391304</v>
      </c>
      <c r="P17" s="32">
        <f>(O17*N17)</f>
        <v>3.1545880434782605</v>
      </c>
      <c r="Q17" t="s">
        <v>11</v>
      </c>
      <c r="S17" s="23">
        <f>(B20+B28)</f>
        <v>7.3329999999999999E-4</v>
      </c>
      <c r="T17" s="26">
        <f t="shared" si="2"/>
        <v>16031.774171553252</v>
      </c>
      <c r="U17" s="26">
        <f>(D20+D28)</f>
        <v>11.7561</v>
      </c>
    </row>
    <row r="18" spans="2:27">
      <c r="B18" s="23">
        <v>-1.8000000000000001E-4</v>
      </c>
      <c r="C18" s="26">
        <f t="shared" si="3"/>
        <v>16444.444444444442</v>
      </c>
      <c r="D18" s="26">
        <f>(-2.96)</f>
        <v>-2.96</v>
      </c>
      <c r="N18">
        <f>($B$17/5)</f>
        <v>1.8426799999999999E-4</v>
      </c>
      <c r="O18" s="26">
        <f>(C33)</f>
        <v>22908</v>
      </c>
      <c r="P18" s="32">
        <f>(O18*N18)</f>
        <v>4.2212113439999994</v>
      </c>
      <c r="Q18" t="s">
        <v>11</v>
      </c>
      <c r="S18" s="23">
        <f>(B22+B27)</f>
        <v>4.6000000000000001E-4</v>
      </c>
      <c r="T18" s="26">
        <f t="shared" si="2"/>
        <v>15907.391304347828</v>
      </c>
      <c r="U18" s="26">
        <f>(D22+D29)</f>
        <v>7.317400000000001</v>
      </c>
    </row>
    <row r="19" spans="2:27">
      <c r="B19" s="23">
        <v>5.9999999999999897E-4</v>
      </c>
      <c r="C19" s="26">
        <f t="shared" si="3"/>
        <v>16700.000000000029</v>
      </c>
      <c r="D19" s="26">
        <v>10.02</v>
      </c>
      <c r="F19" s="23"/>
      <c r="I19" s="27"/>
      <c r="N19">
        <f>($B$17/5)</f>
        <v>1.8426799999999999E-4</v>
      </c>
      <c r="O19" s="26">
        <f>($C$17*[1]Params!K18)</f>
        <v>89955.933748670417</v>
      </c>
      <c r="P19" s="32">
        <f>(O19*N19)</f>
        <v>16.576000000000001</v>
      </c>
      <c r="S19" s="23">
        <f>(B23+B32)</f>
        <v>7.2933499999999997E-3</v>
      </c>
      <c r="T19" s="26">
        <f t="shared" si="2"/>
        <v>26638.787223978008</v>
      </c>
      <c r="U19" s="26">
        <f>(D23+17438.6*B32)</f>
        <v>194.28599879999999</v>
      </c>
      <c r="V19" t="s">
        <v>9</v>
      </c>
    </row>
    <row r="20" spans="2:27">
      <c r="B20" s="23">
        <v>9.1330000000000003E-4</v>
      </c>
      <c r="C20" s="26">
        <f t="shared" si="3"/>
        <v>17080.915361874519</v>
      </c>
      <c r="D20" s="26">
        <v>15.6</v>
      </c>
      <c r="S20" s="23">
        <f>(B24+B31)</f>
        <v>1.6180299999999999E-3</v>
      </c>
      <c r="T20" s="26">
        <f t="shared" si="2"/>
        <v>27503.64418459485</v>
      </c>
      <c r="U20" s="26">
        <f>(D24+17211.7*B31)</f>
        <v>44.501721400000001</v>
      </c>
      <c r="V20" t="s">
        <v>15</v>
      </c>
    </row>
    <row r="21" spans="2:27">
      <c r="B21" s="23">
        <v>-1.84E-4</v>
      </c>
      <c r="C21" s="26">
        <f t="shared" si="3"/>
        <v>17119.565217391304</v>
      </c>
      <c r="D21" s="26">
        <v>-3.15</v>
      </c>
      <c r="P21" s="32">
        <f>(SUM(P16:P19))</f>
        <v>26.98198427636715</v>
      </c>
      <c r="S21" s="23">
        <f>(B25+B30)</f>
        <v>2.97E-5</v>
      </c>
      <c r="T21" s="26">
        <f t="shared" si="2"/>
        <v>16835.016835016835</v>
      </c>
      <c r="U21" s="26">
        <f>(D25+D30)</f>
        <v>0.5</v>
      </c>
    </row>
    <row r="22" spans="2:27">
      <c r="B22" s="23">
        <v>5.8E-4</v>
      </c>
      <c r="C22" s="26">
        <f t="shared" si="3"/>
        <v>17034.482758620692</v>
      </c>
      <c r="D22" s="26">
        <v>9.8800000000000008</v>
      </c>
      <c r="S22" s="23">
        <f>(B31-B31)</f>
        <v>0</v>
      </c>
      <c r="T22" s="26">
        <v>0</v>
      </c>
      <c r="U22" s="26">
        <f>(17211.7*-B31+D31)</f>
        <v>-0.25220140000000002</v>
      </c>
      <c r="V22" t="s">
        <v>17</v>
      </c>
    </row>
    <row r="23" spans="2:27">
      <c r="B23" s="23">
        <v>7.6353499999999999E-3</v>
      </c>
      <c r="C23" s="26">
        <f t="shared" si="3"/>
        <v>26226.695567328283</v>
      </c>
      <c r="D23" s="26">
        <v>200.25</v>
      </c>
      <c r="E23" t="s">
        <v>9</v>
      </c>
      <c r="N23" t="s">
        <v>0</v>
      </c>
      <c r="O23" t="s">
        <v>1</v>
      </c>
      <c r="P23" t="s">
        <v>2</v>
      </c>
      <c r="S23" s="23">
        <f>(B32-B32)</f>
        <v>0</v>
      </c>
      <c r="T23" s="26">
        <v>0</v>
      </c>
      <c r="U23" s="26">
        <f>(17438.6*-B32+D32)</f>
        <v>-1.4915987999999993</v>
      </c>
      <c r="V23" t="s">
        <v>18</v>
      </c>
    </row>
    <row r="24" spans="2:27">
      <c r="B24" s="23">
        <v>1.67603E-3</v>
      </c>
      <c r="C24" s="26">
        <f t="shared" si="3"/>
        <v>27147.485426871834</v>
      </c>
      <c r="D24" s="26">
        <v>45.5</v>
      </c>
      <c r="E24" t="s">
        <v>15</v>
      </c>
      <c r="M24" t="s">
        <v>10</v>
      </c>
      <c r="N24">
        <f>($B$19/5)</f>
        <v>1.199999999999998E-4</v>
      </c>
      <c r="O24" s="26">
        <f>(C27)</f>
        <v>20900</v>
      </c>
      <c r="P24" s="32">
        <f>(O24*N24)</f>
        <v>2.507999999999996</v>
      </c>
      <c r="Q24" t="s">
        <v>11</v>
      </c>
      <c r="S24" s="23">
        <f>(B34)</f>
        <v>2.1620400000000001E-3</v>
      </c>
      <c r="T24" s="26">
        <f>(U24/S24)</f>
        <v>30411.093226767312</v>
      </c>
      <c r="U24" s="26">
        <f>(D34)</f>
        <v>65.75</v>
      </c>
      <c r="V24" t="s">
        <v>16</v>
      </c>
    </row>
    <row r="25" spans="2:27">
      <c r="B25" s="23">
        <v>2.97E-5</v>
      </c>
      <c r="C25" s="26">
        <f t="shared" si="3"/>
        <v>16835.016835016835</v>
      </c>
      <c r="D25" s="26">
        <v>0.5</v>
      </c>
      <c r="N25">
        <f>($B$19/5)</f>
        <v>1.199999999999998E-4</v>
      </c>
      <c r="O25" s="26">
        <f>($C$19*[1]Params!K16)</f>
        <v>33400.000000000058</v>
      </c>
      <c r="P25" s="32">
        <f>(O25*N25)</f>
        <v>4.008</v>
      </c>
    </row>
    <row r="26" spans="2:27">
      <c r="B26" s="23">
        <v>-3.3599999999999998E-4</v>
      </c>
      <c r="C26" s="26">
        <f t="shared" si="3"/>
        <v>20979.026577380951</v>
      </c>
      <c r="D26" s="26">
        <f>(-7.04895293)</f>
        <v>-7.0489529299999996</v>
      </c>
      <c r="N26">
        <f>($B$19/5)</f>
        <v>1.199999999999998E-4</v>
      </c>
      <c r="O26" s="26">
        <f>($C$19*[1]Params!K17)</f>
        <v>66800.000000000116</v>
      </c>
      <c r="P26" s="32">
        <f>(O26*N26)</f>
        <v>8.016</v>
      </c>
    </row>
    <row r="27" spans="2:27">
      <c r="B27" s="23">
        <v>-1.2E-4</v>
      </c>
      <c r="C27" s="26">
        <v>20900</v>
      </c>
      <c r="D27" s="26">
        <f>(C27*B27)</f>
        <v>-2.508</v>
      </c>
      <c r="N27">
        <f>($B$19/5)</f>
        <v>1.199999999999998E-4</v>
      </c>
      <c r="O27" s="26">
        <f>($C$19*[1]Params!K18)</f>
        <v>133600.00000000023</v>
      </c>
      <c r="P27" s="32">
        <f>(O27*N27)</f>
        <v>16.032</v>
      </c>
    </row>
    <row r="28" spans="2:27">
      <c r="B28" s="23">
        <v>-1.8000000000000001E-4</v>
      </c>
      <c r="C28" s="26">
        <v>21355</v>
      </c>
      <c r="D28" s="26">
        <f>(B28*C28)</f>
        <v>-3.8439000000000001</v>
      </c>
    </row>
    <row r="29" spans="2:27">
      <c r="B29" s="23">
        <v>-1.2E-4</v>
      </c>
      <c r="C29" s="26">
        <v>21355</v>
      </c>
      <c r="D29" s="26">
        <f>(C29*B29)</f>
        <v>-2.5626000000000002</v>
      </c>
      <c r="P29" s="32">
        <f>(SUM(P24:P27))</f>
        <v>30.563999999999997</v>
      </c>
    </row>
    <row r="30" spans="2:27">
      <c r="B30" s="23">
        <f>(-N64)</f>
        <v>0</v>
      </c>
      <c r="C30" s="26">
        <v>21560</v>
      </c>
      <c r="D30" s="26">
        <f>(C30*B30)</f>
        <v>0</v>
      </c>
    </row>
    <row r="31" spans="2:27">
      <c r="B31" s="23">
        <f>(-0.000058-B30)</f>
        <v>-5.8E-5</v>
      </c>
      <c r="C31" s="26">
        <v>21560</v>
      </c>
      <c r="D31" s="26">
        <f>(C31*B31)</f>
        <v>-1.25048</v>
      </c>
      <c r="N31" t="s">
        <v>0</v>
      </c>
      <c r="O31" t="s">
        <v>1</v>
      </c>
      <c r="P31" t="s">
        <v>2</v>
      </c>
      <c r="AA31" s="27"/>
    </row>
    <row r="32" spans="2:27">
      <c r="B32" s="23">
        <v>-3.4200000000000002E-4</v>
      </c>
      <c r="C32" s="26">
        <f>(D32/B32)</f>
        <v>21799.999999999996</v>
      </c>
      <c r="D32" s="26">
        <v>-7.4555999999999996</v>
      </c>
      <c r="M32" t="s">
        <v>10</v>
      </c>
      <c r="N32">
        <f>($B$20/5)</f>
        <v>1.8266000000000002E-4</v>
      </c>
      <c r="O32" s="26">
        <f>(C28)</f>
        <v>21355</v>
      </c>
      <c r="P32" s="32">
        <f>(O32*N32)</f>
        <v>3.9007043000000006</v>
      </c>
      <c r="Q32" t="s">
        <v>11</v>
      </c>
      <c r="AA32" s="27"/>
    </row>
    <row r="33" spans="2:21">
      <c r="B33" s="23">
        <f>(-0.000184)</f>
        <v>-1.84E-4</v>
      </c>
      <c r="C33" s="26">
        <f>(D33/B33)</f>
        <v>22908</v>
      </c>
      <c r="D33" s="26">
        <f>(-4.215072)</f>
        <v>-4.2150720000000002</v>
      </c>
      <c r="N33">
        <f>($B$20/5)</f>
        <v>1.8266000000000002E-4</v>
      </c>
      <c r="O33" s="26">
        <f>($C$20*[1]Params!K16)</f>
        <v>34161.830723749037</v>
      </c>
      <c r="P33" s="32">
        <f>(O33*N33)</f>
        <v>6.2399999999999993</v>
      </c>
    </row>
    <row r="34" spans="2:21">
      <c r="B34" s="23">
        <v>2.1620400000000001E-3</v>
      </c>
      <c r="C34" s="26">
        <f>(D34/B34)</f>
        <v>30411.093226767312</v>
      </c>
      <c r="D34" s="26">
        <v>65.75</v>
      </c>
      <c r="E34" t="s">
        <v>16</v>
      </c>
      <c r="N34">
        <f>($B$20/5)</f>
        <v>1.8266000000000002E-4</v>
      </c>
      <c r="O34" s="26">
        <f>($C$20*[1]Params!K17)</f>
        <v>68323.661447498074</v>
      </c>
      <c r="P34" s="32">
        <f>(O34*N34)</f>
        <v>12.479999999999999</v>
      </c>
    </row>
    <row r="35" spans="2:21">
      <c r="B35" s="23">
        <f>0.00073-0.00000073</f>
        <v>7.2926999999999996E-4</v>
      </c>
      <c r="C35" s="26">
        <f>(D35/B35)</f>
        <v>27395.295295295298</v>
      </c>
      <c r="D35" s="26">
        <v>19.978567000000002</v>
      </c>
      <c r="N35">
        <f>($B$20/5)</f>
        <v>1.8266000000000002E-4</v>
      </c>
      <c r="O35" s="26">
        <f>($C$20*[1]Params!K18)</f>
        <v>136647.32289499615</v>
      </c>
      <c r="P35" s="32">
        <f>(O35*N35)</f>
        <v>24.959999999999997</v>
      </c>
    </row>
    <row r="36" spans="2:21">
      <c r="B36" s="23">
        <f>-0.00108507+0.0012102/1.001</f>
        <v>1.2392100899100904E-4</v>
      </c>
      <c r="C36" s="26">
        <v>0</v>
      </c>
      <c r="D36" s="26">
        <f>C36*B36</f>
        <v>0</v>
      </c>
      <c r="E36" s="27" t="s">
        <v>19</v>
      </c>
    </row>
    <row r="37" spans="2:21">
      <c r="B37" s="23">
        <v>-5.0000000000000001E-3</v>
      </c>
      <c r="C37" s="26">
        <v>0</v>
      </c>
      <c r="D37" s="26">
        <v>0</v>
      </c>
      <c r="E37" s="27" t="s">
        <v>19</v>
      </c>
      <c r="F37">
        <v>0.52980000000000005</v>
      </c>
      <c r="P37" s="32">
        <f>(SUM(P32:P35))</f>
        <v>47.580704299999994</v>
      </c>
    </row>
    <row r="38" spans="2:21">
      <c r="F38" t="s">
        <v>12</v>
      </c>
      <c r="G38" s="27">
        <f>(D39/B39)</f>
        <v>29570.60017181954</v>
      </c>
      <c r="S38">
        <f>(SUM(S5:S25))</f>
        <v>3.0741749999999998E-2</v>
      </c>
      <c r="U38" s="26">
        <f>(SUM(U5:U25))</f>
        <v>602.34980016999998</v>
      </c>
    </row>
    <row r="39" spans="2:21">
      <c r="B39" s="23">
        <f>(SUM(B5:B38))</f>
        <v>2.659494100899101E-2</v>
      </c>
      <c r="D39" s="26">
        <f>(SUM(D5:D38))</f>
        <v>786.42836717000012</v>
      </c>
      <c r="N39" t="s">
        <v>0</v>
      </c>
      <c r="O39" t="s">
        <v>1</v>
      </c>
      <c r="P39" t="s">
        <v>2</v>
      </c>
    </row>
    <row r="40" spans="2:21">
      <c r="M40" t="s">
        <v>10</v>
      </c>
      <c r="N40">
        <f>(-B29)</f>
        <v>1.2E-4</v>
      </c>
      <c r="O40" s="26">
        <f>(C29)</f>
        <v>21355</v>
      </c>
      <c r="P40" s="32">
        <f>(O40*N40)</f>
        <v>2.5626000000000002</v>
      </c>
      <c r="Q40" t="s">
        <v>11</v>
      </c>
    </row>
    <row r="41" spans="2:21">
      <c r="N41">
        <f>($B$22/5)</f>
        <v>1.16E-4</v>
      </c>
      <c r="O41" s="26">
        <f>($C$22*[1]Params!K16)</f>
        <v>34068.965517241384</v>
      </c>
      <c r="P41" s="32">
        <f>(O41*N41)</f>
        <v>3.9520000000000004</v>
      </c>
    </row>
    <row r="42" spans="2:21">
      <c r="N42">
        <f>($B$22/5)</f>
        <v>1.16E-4</v>
      </c>
      <c r="O42" s="26">
        <f>($C$22*[1]Params!K17)</f>
        <v>68137.931034482768</v>
      </c>
      <c r="P42" s="32">
        <f>(O42*N42)</f>
        <v>7.9040000000000008</v>
      </c>
    </row>
    <row r="43" spans="2:21">
      <c r="N43">
        <f>($B$22/5)</f>
        <v>1.16E-4</v>
      </c>
      <c r="O43" s="26">
        <f>($C$22*[1]Params!K18)</f>
        <v>136275.86206896554</v>
      </c>
      <c r="P43" s="32">
        <f>(O43*N43)</f>
        <v>15.808000000000002</v>
      </c>
    </row>
    <row r="45" spans="2:21">
      <c r="P45" s="32">
        <f>(SUM(P40:P43))</f>
        <v>30.226600000000005</v>
      </c>
    </row>
    <row r="47" spans="2:21">
      <c r="M47" t="s">
        <v>9</v>
      </c>
      <c r="N47" t="s">
        <v>0</v>
      </c>
      <c r="O47" t="s">
        <v>1</v>
      </c>
      <c r="P47" t="s">
        <v>2</v>
      </c>
    </row>
    <row r="48" spans="2:21">
      <c r="M48" t="s">
        <v>10</v>
      </c>
      <c r="N48">
        <f>(-B32)</f>
        <v>3.4200000000000002E-4</v>
      </c>
      <c r="O48" s="26">
        <f>(C32)</f>
        <v>21799.999999999996</v>
      </c>
      <c r="P48" s="32">
        <f>(O48*N48)</f>
        <v>7.4555999999999996</v>
      </c>
      <c r="Q48" t="s">
        <v>11</v>
      </c>
    </row>
    <row r="49" spans="13:17">
      <c r="N49">
        <f>(2*($S$19+N48)/5-N48)</f>
        <v>2.71214E-3</v>
      </c>
      <c r="O49" s="26">
        <f>($T$19*[1]Params!K16)</f>
        <v>53277.574447956016</v>
      </c>
      <c r="P49" s="32">
        <f>(O49*N49)</f>
        <v>144.49624076327945</v>
      </c>
    </row>
    <row r="50" spans="13:17">
      <c r="N50">
        <f>($B$23/5)</f>
        <v>1.5270699999999999E-3</v>
      </c>
      <c r="O50" s="26">
        <f>($T$19*[1]Params!K17)</f>
        <v>106555.14889591203</v>
      </c>
      <c r="P50" s="32">
        <f>(O50*N50)</f>
        <v>162.71717122448038</v>
      </c>
    </row>
    <row r="51" spans="13:17">
      <c r="N51">
        <f>($B$23/5)</f>
        <v>1.5270699999999999E-3</v>
      </c>
      <c r="O51" s="26">
        <f>($T$19*[1]Params!K18)</f>
        <v>213110.29779182406</v>
      </c>
      <c r="P51" s="32">
        <f>(O51*N51)</f>
        <v>325.43434244896076</v>
      </c>
    </row>
    <row r="53" spans="13:17">
      <c r="P53" s="32">
        <f>(SUM(P48:P51))</f>
        <v>640.10335443672056</v>
      </c>
    </row>
    <row r="55" spans="13:17">
      <c r="M55" t="s">
        <v>15</v>
      </c>
      <c r="N55" t="s">
        <v>0</v>
      </c>
      <c r="O55" t="s">
        <v>1</v>
      </c>
      <c r="P55" t="s">
        <v>2</v>
      </c>
    </row>
    <row r="56" spans="13:17">
      <c r="M56" t="s">
        <v>10</v>
      </c>
      <c r="N56">
        <f>(-B31)</f>
        <v>5.8E-5</v>
      </c>
      <c r="O56" s="26">
        <f>(C31)</f>
        <v>21560</v>
      </c>
      <c r="P56" s="32">
        <f>(O56*N56)</f>
        <v>1.25048</v>
      </c>
      <c r="Q56" t="s">
        <v>11</v>
      </c>
    </row>
    <row r="57" spans="13:17">
      <c r="N57">
        <f>(2*($S$20+N56)/5-N56)</f>
        <v>6.124119999999999E-4</v>
      </c>
      <c r="O57" s="26">
        <f>($T$20*[1]Params!K16)</f>
        <v>55007.2883691897</v>
      </c>
      <c r="P57" s="32">
        <f>(O57*N57)</f>
        <v>33.687123484752199</v>
      </c>
    </row>
    <row r="58" spans="13:17">
      <c r="N58">
        <f>($B$24/5)</f>
        <v>3.35206E-4</v>
      </c>
      <c r="O58" s="26">
        <f>($T$20*[1]Params!K17)</f>
        <v>110014.5767383794</v>
      </c>
      <c r="P58" s="32">
        <f>(O58*N58)</f>
        <v>36.877546210165207</v>
      </c>
    </row>
    <row r="59" spans="13:17">
      <c r="N59">
        <f>($B$24/5)</f>
        <v>3.35206E-4</v>
      </c>
      <c r="O59" s="26">
        <f>($T$20*[1]Params!K18)</f>
        <v>220029.1534767588</v>
      </c>
      <c r="P59" s="32">
        <f>(O59*N59)</f>
        <v>73.755092420330413</v>
      </c>
    </row>
    <row r="61" spans="13:17">
      <c r="P61" s="32">
        <f>(SUM(P56:P59))</f>
        <v>145.57024211524782</v>
      </c>
    </row>
    <row r="64" spans="13:17">
      <c r="O64" s="26"/>
      <c r="P64" s="32"/>
    </row>
    <row r="65" spans="13:16">
      <c r="O65" s="26"/>
      <c r="P65" s="32"/>
    </row>
    <row r="66" spans="13:16">
      <c r="O66" s="26"/>
      <c r="P66" s="32"/>
    </row>
    <row r="67" spans="13:16">
      <c r="O67" s="26"/>
      <c r="P67" s="32"/>
    </row>
    <row r="69" spans="13:16">
      <c r="P69" s="32"/>
    </row>
    <row r="71" spans="13:16">
      <c r="M71" t="s">
        <v>23</v>
      </c>
      <c r="N71" t="s">
        <v>0</v>
      </c>
      <c r="O71" t="s">
        <v>1</v>
      </c>
      <c r="P71" t="s">
        <v>2</v>
      </c>
    </row>
    <row r="72" spans="13:16">
      <c r="M72" t="s">
        <v>10</v>
      </c>
      <c r="N72">
        <f>($S$24/5)</f>
        <v>4.3240800000000001E-4</v>
      </c>
      <c r="O72" s="26">
        <f>($T$24*[1]Params!K15)</f>
        <v>45616.639840150965</v>
      </c>
      <c r="P72" s="32">
        <f>(O72*N72)</f>
        <v>19.724999999999998</v>
      </c>
    </row>
    <row r="73" spans="13:16">
      <c r="N73">
        <f>($S$24/5)</f>
        <v>4.3240800000000001E-4</v>
      </c>
      <c r="O73" s="26">
        <f>($T$24*[1]Params!K16)</f>
        <v>60822.186453534625</v>
      </c>
      <c r="P73" s="32">
        <f>(O73*N73)</f>
        <v>26.3</v>
      </c>
    </row>
    <row r="74" spans="13:16">
      <c r="N74">
        <f>($S$24/5)</f>
        <v>4.3240800000000001E-4</v>
      </c>
      <c r="O74" s="26">
        <f>($T$24*[1]Params!K17)</f>
        <v>121644.37290706925</v>
      </c>
      <c r="P74" s="32">
        <f>(O74*N74)</f>
        <v>52.6</v>
      </c>
    </row>
    <row r="75" spans="13:16">
      <c r="N75">
        <f>($S$24/5)</f>
        <v>4.3240800000000001E-4</v>
      </c>
      <c r="O75" s="26">
        <f>($T$24*[1]Params!K18)</f>
        <v>243288.7458141385</v>
      </c>
      <c r="P75" s="32">
        <f>(O75*N75)</f>
        <v>105.2</v>
      </c>
    </row>
    <row r="77" spans="13:16">
      <c r="P77" s="32">
        <f>(SUM(P72:P75))</f>
        <v>203.82499999999999</v>
      </c>
    </row>
  </sheetData>
  <conditionalFormatting sqref="C5 C7:C17 C19:C20 C22:C25 C34:C35 G38 O9:O11 O19 O25:O27 O33:O35 O41:O43 O49:O51 O57:O59 O65:O67 O72:O75 T5 T7:T21 T24">
    <cfRule type="cellIs" dxfId="273" priority="45" operator="lessThan">
      <formula>$J$3</formula>
    </cfRule>
    <cfRule type="cellIs" dxfId="272" priority="46" operator="greaterThan">
      <formula>$J$3</formula>
    </cfRule>
  </conditionalFormatting>
  <conditionalFormatting sqref="O3">
    <cfRule type="cellIs" dxfId="271" priority="1" operator="greaterThan">
      <formula>$J$3</formula>
    </cfRule>
    <cfRule type="cellIs" dxfId="270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Z41" sqref="Z41"/>
    </sheetView>
  </sheetViews>
  <sheetFormatPr baseColWidth="10" defaultColWidth="9.140625" defaultRowHeight="15"/>
  <cols>
    <col min="2" max="2" width="8.5703125" style="25" customWidth="1"/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3" spans="2:16">
      <c r="I3" t="s">
        <v>3</v>
      </c>
      <c r="J3" s="26">
        <v>0.79665116779131262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(B10*J3)</f>
        <v>2.3296621463443237</v>
      </c>
      <c r="K4" s="4">
        <f>(J4/D10-1)</f>
        <v>-0.22344595121855881</v>
      </c>
    </row>
    <row r="5" spans="2:16">
      <c r="B5" s="37">
        <v>2.9243190000000001</v>
      </c>
      <c r="C5" s="26">
        <f>(D5/B5)</f>
        <v>1.0258798715188049</v>
      </c>
      <c r="D5" s="26">
        <v>3</v>
      </c>
      <c r="E5" t="s">
        <v>78</v>
      </c>
      <c r="N5" t="s">
        <v>30</v>
      </c>
      <c r="O5" t="s">
        <v>1</v>
      </c>
      <c r="P5" t="s">
        <v>2</v>
      </c>
    </row>
    <row r="6" spans="2:16">
      <c r="B6" s="23"/>
      <c r="C6" s="26"/>
      <c r="D6" s="26"/>
      <c r="M6" t="s">
        <v>10</v>
      </c>
      <c r="N6" s="23">
        <f>($B$5/5)</f>
        <v>0.58486380000000004</v>
      </c>
      <c r="O6" s="26">
        <f>($C$5*[1]Params!K8)</f>
        <v>1.3336438329744464</v>
      </c>
      <c r="P6" s="26">
        <f>(O6*N6)</f>
        <v>0.78000000000000014</v>
      </c>
    </row>
    <row r="7" spans="2:16">
      <c r="B7" s="23"/>
      <c r="C7" s="26"/>
      <c r="D7" s="26"/>
      <c r="N7" s="23">
        <f>($B$5/5)</f>
        <v>0.58486380000000004</v>
      </c>
      <c r="O7" s="26">
        <f>($C$5*[1]Params!K9)</f>
        <v>1.641407794430088</v>
      </c>
      <c r="P7" s="26">
        <f>(O7*N7)</f>
        <v>0.96000000000000019</v>
      </c>
    </row>
    <row r="8" spans="2:16">
      <c r="B8" s="23"/>
      <c r="C8" s="26"/>
      <c r="D8" s="26"/>
      <c r="N8" s="23">
        <f>($B$5/5)</f>
        <v>0.58486380000000004</v>
      </c>
      <c r="O8" s="26">
        <f>($C$5*[1]Params!K10)</f>
        <v>2.2569357173413711</v>
      </c>
      <c r="P8" s="26">
        <f>(O8*N8)</f>
        <v>1.3200000000000003</v>
      </c>
    </row>
    <row r="9" spans="2:16">
      <c r="B9" s="23"/>
      <c r="C9" s="26"/>
      <c r="D9" s="26"/>
      <c r="F9" t="s">
        <v>12</v>
      </c>
      <c r="G9" s="26">
        <f>(D10/B10)</f>
        <v>1.0258798715188049</v>
      </c>
      <c r="H9" s="26"/>
      <c r="N9" s="23">
        <f>($B$5/5)</f>
        <v>0.58486380000000004</v>
      </c>
      <c r="O9" s="26">
        <f>($C$5*[1]Params!K11)</f>
        <v>5.1293993575940249</v>
      </c>
      <c r="P9" s="26">
        <f>(O9*N9)</f>
        <v>3.0000000000000004</v>
      </c>
    </row>
    <row r="10" spans="2:16">
      <c r="B10" s="37">
        <f>(SUM(B5:B9))</f>
        <v>2.9243190000000001</v>
      </c>
      <c r="C10" s="26"/>
      <c r="D10" s="26">
        <f>(SUM(D5:D9))</f>
        <v>3</v>
      </c>
      <c r="O10" s="26"/>
      <c r="P10" s="26"/>
    </row>
    <row r="11" spans="2:16">
      <c r="C11" s="26"/>
      <c r="D11" s="26"/>
      <c r="O11" s="26"/>
      <c r="P11" s="26">
        <f>(SUM(P6:P9))</f>
        <v>6.0600000000000005</v>
      </c>
    </row>
    <row r="12" spans="2:16">
      <c r="O12" s="26"/>
      <c r="P12" s="26"/>
    </row>
  </sheetData>
  <conditionalFormatting sqref="C5">
    <cfRule type="cellIs" dxfId="151" priority="5" operator="lessThan">
      <formula>$J$3</formula>
    </cfRule>
    <cfRule type="cellIs" dxfId="150" priority="6" operator="greaterThan">
      <formula>$J$3</formula>
    </cfRule>
  </conditionalFormatting>
  <conditionalFormatting sqref="G9">
    <cfRule type="cellIs" dxfId="149" priority="3" operator="lessThan">
      <formula>$J$3</formula>
    </cfRule>
    <cfRule type="cellIs" dxfId="148" priority="4" operator="greaterThan">
      <formula>$J$3</formula>
    </cfRule>
  </conditionalFormatting>
  <conditionalFormatting sqref="O6:O9">
    <cfRule type="cellIs" dxfId="147" priority="1" operator="lessThan">
      <formula>$J$3</formula>
    </cfRule>
    <cfRule type="cellIs" dxfId="14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23"/>
  <sheetViews>
    <sheetView workbookViewId="0">
      <selection activeCell="T5" sqref="T5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20" width="9.140625" style="25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3.330741514703742</v>
      </c>
      <c r="M3" t="s">
        <v>4</v>
      </c>
      <c r="N3" s="1">
        <f>(INDEX(N5:N17,MATCH(MAX(O6),O5:O17,0))/0.85)</f>
        <v>1.4035294117647059</v>
      </c>
      <c r="O3" s="27">
        <f>(MAX(O6)*0.75)</f>
        <v>2.1284581056160938</v>
      </c>
      <c r="P3" s="26">
        <f>(O3*N3)</f>
        <v>2.9873535529411765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(B11*J3)</f>
        <v>19.990062120437859</v>
      </c>
      <c r="K4" s="4">
        <f>(J4/D11-1)</f>
        <v>0.64934985643731835</v>
      </c>
      <c r="R4" t="s">
        <v>5</v>
      </c>
      <c r="S4" t="s">
        <v>6</v>
      </c>
      <c r="T4" t="s">
        <v>7</v>
      </c>
    </row>
    <row r="5" spans="2:21">
      <c r="B5" s="1">
        <v>6.9602541699999998</v>
      </c>
      <c r="C5" s="26">
        <f>(D5/B5)</f>
        <v>2.3016400850775254</v>
      </c>
      <c r="D5" s="26">
        <v>16.02</v>
      </c>
      <c r="E5" t="s">
        <v>80</v>
      </c>
      <c r="M5" t="s">
        <v>80</v>
      </c>
      <c r="N5" t="s">
        <v>30</v>
      </c>
      <c r="O5" t="s">
        <v>1</v>
      </c>
      <c r="P5" t="s">
        <v>2</v>
      </c>
      <c r="R5" s="1">
        <f>(B5)+B7</f>
        <v>5.7672541699999993</v>
      </c>
      <c r="S5" s="26">
        <f>(T5/R5)</f>
        <v>2.3269677396583339</v>
      </c>
      <c r="T5" s="26">
        <f>(D5)+(B7)*2.1792</f>
        <v>13.420214399999999</v>
      </c>
    </row>
    <row r="6" spans="2:21">
      <c r="B6" s="2">
        <v>2.052269E-2</v>
      </c>
      <c r="C6" s="29">
        <v>0</v>
      </c>
      <c r="D6" s="30">
        <f>(B6*C6)</f>
        <v>0</v>
      </c>
      <c r="E6" s="26">
        <f>(B6*J3)</f>
        <v>6.8355775576395342E-2</v>
      </c>
      <c r="M6" t="s">
        <v>10</v>
      </c>
      <c r="N6" s="1">
        <f>-B7</f>
        <v>1.1930000000000001</v>
      </c>
      <c r="O6" s="26">
        <f>P6/N6</f>
        <v>2.8379441408214583</v>
      </c>
      <c r="P6" s="26">
        <f>-D7</f>
        <v>3.3856673599999998</v>
      </c>
      <c r="Q6" t="s">
        <v>11</v>
      </c>
      <c r="R6" s="2">
        <f>(B6)</f>
        <v>2.052269E-2</v>
      </c>
      <c r="S6" s="29">
        <f>(T6/R6)</f>
        <v>0</v>
      </c>
      <c r="T6" s="30">
        <f>(D6)</f>
        <v>0</v>
      </c>
    </row>
    <row r="7" spans="2:21">
      <c r="B7" s="1">
        <v>-1.1930000000000001</v>
      </c>
      <c r="C7" s="27">
        <f>D7/B7</f>
        <v>2.8379441408214583</v>
      </c>
      <c r="D7" s="26">
        <f>-3.38566736</f>
        <v>-3.3856673599999998</v>
      </c>
      <c r="N7" s="1">
        <f>2*($B$11+$N$6)/5-$N$6</f>
        <v>1.6848740879999999</v>
      </c>
      <c r="O7" s="26">
        <f>($C$5*[1]Params!K9)</f>
        <v>3.6826241361240406</v>
      </c>
      <c r="P7" s="26">
        <f>(O7*N7)</f>
        <v>6.2047579827987809</v>
      </c>
      <c r="R7" s="1">
        <f>(B7)-B7</f>
        <v>0</v>
      </c>
      <c r="S7" s="26">
        <v>0</v>
      </c>
      <c r="T7" s="26">
        <f>(D7)-B7*2.1792</f>
        <v>-0.7858817600000001</v>
      </c>
    </row>
    <row r="8" spans="2:21">
      <c r="B8" s="1">
        <v>-1.19</v>
      </c>
      <c r="C8" s="27">
        <f>D8/B8</f>
        <v>3.6507293193277315</v>
      </c>
      <c r="D8" s="26">
        <v>-4.34436789</v>
      </c>
      <c r="N8" s="1">
        <f>($B$11+$N$6)/5</f>
        <v>1.438937044</v>
      </c>
      <c r="O8" s="26">
        <f>($C$5*[1]Params!K10)</f>
        <v>5.0636081871705558</v>
      </c>
      <c r="P8" s="26">
        <f>(O8*N8)</f>
        <v>7.286213396821398</v>
      </c>
      <c r="R8" s="1">
        <f>(B8)+B9</f>
        <v>0.21390836000000002</v>
      </c>
      <c r="S8" s="26">
        <v>0</v>
      </c>
      <c r="T8" s="26">
        <f>(D8)+D9</f>
        <v>-0.51436788999999994</v>
      </c>
      <c r="U8" t="s">
        <v>81</v>
      </c>
    </row>
    <row r="9" spans="2:21">
      <c r="B9" s="1">
        <v>1.40390836</v>
      </c>
      <c r="C9" s="26">
        <f>(D9/B9)</f>
        <v>2.7280982926834341</v>
      </c>
      <c r="D9" s="26">
        <v>3.83</v>
      </c>
      <c r="N9" s="1">
        <f>($B$11+$N$6)/5</f>
        <v>1.438937044</v>
      </c>
      <c r="O9" s="26">
        <f>($C$5*[1]Params!K11)</f>
        <v>11.508200425387628</v>
      </c>
      <c r="P9" s="26">
        <f>(O9*N9)</f>
        <v>16.559575901866815</v>
      </c>
      <c r="R9" s="1"/>
      <c r="S9" s="26"/>
      <c r="T9" s="26"/>
    </row>
    <row r="10" spans="2:21">
      <c r="F10" t="s">
        <v>12</v>
      </c>
      <c r="G10" s="26">
        <f>(D11/B11)</f>
        <v>2.0194269285585755</v>
      </c>
      <c r="R10" s="1"/>
      <c r="S10" s="26"/>
      <c r="T10" s="26"/>
    </row>
    <row r="11" spans="2:21">
      <c r="B11" s="1">
        <f>(SUM(B5:B10))</f>
        <v>6.0016852199999997</v>
      </c>
      <c r="D11" s="26">
        <f>(SUM(D5:D10))</f>
        <v>12.119964749999999</v>
      </c>
      <c r="P11" s="26">
        <f>(SUM(P6:P9))</f>
        <v>33.436214641486998</v>
      </c>
      <c r="R11" s="1"/>
      <c r="S11" s="26"/>
      <c r="T11" s="26"/>
    </row>
    <row r="12" spans="2:21">
      <c r="R12" s="1"/>
      <c r="S12" s="26"/>
      <c r="T12" s="27"/>
    </row>
    <row r="23" spans="18:20">
      <c r="R23">
        <f>(SUM(R5:R22))</f>
        <v>6.0016852199999988</v>
      </c>
      <c r="T23" s="26">
        <f>(SUM(T5:T22))</f>
        <v>12.119964749999998</v>
      </c>
    </row>
  </sheetData>
  <conditionalFormatting sqref="C5 G10 O7:O8 S5">
    <cfRule type="cellIs" dxfId="145" priority="11" operator="lessThan">
      <formula>$J$3</formula>
    </cfRule>
    <cfRule type="cellIs" dxfId="144" priority="12" operator="greaterThan">
      <formula>$J$3</formula>
    </cfRule>
  </conditionalFormatting>
  <conditionalFormatting sqref="O9">
    <cfRule type="cellIs" dxfId="143" priority="9" operator="lessThan">
      <formula>$J$3</formula>
    </cfRule>
    <cfRule type="cellIs" dxfId="142" priority="10" operator="greaterThan">
      <formula>$J$3</formula>
    </cfRule>
  </conditionalFormatting>
  <conditionalFormatting sqref="O3">
    <cfRule type="cellIs" dxfId="141" priority="5" operator="greaterThan">
      <formula>$J$3</formula>
    </cfRule>
    <cfRule type="cellIs" dxfId="140" priority="6" operator="lessThan">
      <formula>$J$3</formula>
    </cfRule>
  </conditionalFormatting>
  <conditionalFormatting sqref="C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2:U22"/>
  <sheetViews>
    <sheetView workbookViewId="0">
      <selection activeCell="O9" sqref="O9"/>
    </sheetView>
  </sheetViews>
  <sheetFormatPr baseColWidth="10" defaultColWidth="9.140625" defaultRowHeight="15"/>
  <cols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21" width="9.140625" style="25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18.535853167200639</v>
      </c>
      <c r="M3" t="s">
        <v>4</v>
      </c>
      <c r="N3" s="23">
        <f>(INDEX(N5:N16,MATCH(MAX(O6:O8),O5:O16,0))/0.9)</f>
        <v>0.29066666666666668</v>
      </c>
      <c r="O3" s="27">
        <f>(MAX(O6:O8)*0.85)</f>
        <v>13.030342087155963</v>
      </c>
      <c r="P3" s="47">
        <f>(O3*N3)</f>
        <v>3.7874861000000002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(B11*J3)</f>
        <v>12.990365199294269</v>
      </c>
      <c r="K4" s="4">
        <f>(J4/D11-1)</f>
        <v>5.3415711961799071</v>
      </c>
      <c r="R4" t="s">
        <v>5</v>
      </c>
      <c r="S4" t="s">
        <v>6</v>
      </c>
      <c r="T4" t="s">
        <v>7</v>
      </c>
    </row>
    <row r="5" spans="2:21">
      <c r="B5" s="1">
        <v>1.47992576</v>
      </c>
      <c r="C5" s="26">
        <f>(D5/B5)</f>
        <v>7.9058019775262238</v>
      </c>
      <c r="D5" s="26">
        <v>11.7</v>
      </c>
      <c r="E5" t="s">
        <v>80</v>
      </c>
      <c r="M5" t="s">
        <v>80</v>
      </c>
      <c r="N5" t="s">
        <v>30</v>
      </c>
      <c r="O5" t="s">
        <v>1</v>
      </c>
      <c r="P5" t="s">
        <v>2</v>
      </c>
      <c r="R5" s="1">
        <f>(B5)+B7+B8+B9</f>
        <v>0.69832575999999991</v>
      </c>
      <c r="S5" s="26">
        <f>(T5/R5)</f>
        <v>9.0296415243224022</v>
      </c>
      <c r="T5" s="26">
        <f>(D5)+(B7+B8+B9)*6.9017</f>
        <v>6.3056312799999992</v>
      </c>
    </row>
    <row r="6" spans="2:21">
      <c r="B6" s="2">
        <v>2.4979400000000001E-3</v>
      </c>
      <c r="C6" s="29">
        <v>0</v>
      </c>
      <c r="D6" s="30">
        <f>(B6*C6)</f>
        <v>0</v>
      </c>
      <c r="E6" s="26">
        <f>(B6*J3)</f>
        <v>4.6301449060477166E-2</v>
      </c>
      <c r="M6" t="s">
        <v>10</v>
      </c>
      <c r="N6" s="23">
        <f>-B7</f>
        <v>0.25</v>
      </c>
      <c r="O6" s="26">
        <f>P6/N6</f>
        <v>10.198829079999999</v>
      </c>
      <c r="P6" s="26">
        <f>-D7</f>
        <v>2.5497072699999999</v>
      </c>
      <c r="Q6" t="s">
        <v>11</v>
      </c>
      <c r="R6" s="2">
        <f>(B6)</f>
        <v>2.4979400000000001E-3</v>
      </c>
      <c r="S6" s="29">
        <f>(T6/R6)</f>
        <v>0</v>
      </c>
      <c r="T6" s="30">
        <f>(D6)</f>
        <v>0</v>
      </c>
    </row>
    <row r="7" spans="2:21">
      <c r="B7" s="1">
        <v>-0.25</v>
      </c>
      <c r="C7" s="26">
        <f>D7/B7</f>
        <v>10.198829079999999</v>
      </c>
      <c r="D7" s="26">
        <f>-2.54970727</f>
        <v>-2.5497072699999999</v>
      </c>
      <c r="N7" s="23">
        <f>-B8</f>
        <v>0.27</v>
      </c>
      <c r="O7" s="26">
        <f>C8</f>
        <v>11.450249925925926</v>
      </c>
      <c r="P7" s="26">
        <f>-D8</f>
        <v>3.0915674800000001</v>
      </c>
      <c r="Q7" t="s">
        <v>11</v>
      </c>
      <c r="R7" s="1">
        <f>(B7)-B7</f>
        <v>0</v>
      </c>
      <c r="S7" s="26">
        <v>0</v>
      </c>
      <c r="T7" s="26">
        <f>(D7)-B7*6.9017</f>
        <v>-0.82428226999999987</v>
      </c>
    </row>
    <row r="8" spans="2:21">
      <c r="B8" s="1">
        <v>-0.27</v>
      </c>
      <c r="C8" s="26">
        <f>D8/B8</f>
        <v>11.450249925925926</v>
      </c>
      <c r="D8" s="26">
        <v>-3.0915674800000001</v>
      </c>
      <c r="N8" s="23">
        <f>-B9</f>
        <v>0.2616</v>
      </c>
      <c r="O8" s="26">
        <f>P8/N8</f>
        <v>15.329814220183486</v>
      </c>
      <c r="P8" s="26">
        <f>-D9</f>
        <v>4.0102793999999999</v>
      </c>
      <c r="Q8" t="s">
        <v>11</v>
      </c>
      <c r="R8" s="1">
        <f>(B8)-B8</f>
        <v>0</v>
      </c>
      <c r="S8" s="26">
        <v>0</v>
      </c>
      <c r="T8" s="26">
        <f>(D8)-B8*6.9017</f>
        <v>-1.2281084799999999</v>
      </c>
      <c r="U8" s="27"/>
    </row>
    <row r="9" spans="2:21">
      <c r="B9" s="1">
        <v>-0.2616</v>
      </c>
      <c r="C9" s="26">
        <f>D9/B9</f>
        <v>15.329814220183486</v>
      </c>
      <c r="D9" s="26">
        <f>-4.0102794</f>
        <v>-4.0102793999999999</v>
      </c>
      <c r="N9" s="23">
        <f>4*($B$5+B6)/5-N8-N7-N6</f>
        <v>0.40433896000000003</v>
      </c>
      <c r="O9" s="26">
        <f>($S$5*[1]Params!K11)</f>
        <v>45.148207621612009</v>
      </c>
      <c r="P9" s="26">
        <f>(O9*N9)</f>
        <v>18.255179315586673</v>
      </c>
      <c r="R9" s="1">
        <f>(B9)-B9</f>
        <v>0</v>
      </c>
      <c r="S9" s="26">
        <v>0</v>
      </c>
      <c r="T9" s="26">
        <f>(D9)-B9*6.9017</f>
        <v>-2.20479468</v>
      </c>
      <c r="U9" s="27"/>
    </row>
    <row r="10" spans="2:21">
      <c r="C10" s="26"/>
      <c r="D10" s="26"/>
      <c r="F10" t="s">
        <v>12</v>
      </c>
      <c r="G10" s="26">
        <f>(D11/B11)</f>
        <v>2.9229117822356754</v>
      </c>
      <c r="O10" s="26"/>
      <c r="P10" s="26"/>
      <c r="R10" s="1"/>
      <c r="S10" s="26"/>
      <c r="T10" s="26"/>
      <c r="U10" s="27"/>
    </row>
    <row r="11" spans="2:21">
      <c r="B11">
        <f>(SUM(B5:B10))</f>
        <v>0.70082369999999994</v>
      </c>
      <c r="C11" s="26"/>
      <c r="D11" s="26">
        <f>(SUM(D5:D10))</f>
        <v>2.0484458500000002</v>
      </c>
      <c r="O11" s="26"/>
      <c r="P11" s="26">
        <f>(SUM(P6:P9))</f>
        <v>27.906733465586672</v>
      </c>
      <c r="R11" s="1"/>
      <c r="S11" s="26"/>
      <c r="T11" s="27"/>
    </row>
    <row r="22" spans="18:20">
      <c r="R22">
        <f>(SUM(R5:R21))</f>
        <v>0.70082369999999994</v>
      </c>
      <c r="T22" s="26">
        <f>(SUM(T5:T21))</f>
        <v>2.0484458499999993</v>
      </c>
    </row>
  </sheetData>
  <conditionalFormatting sqref="C5 G10 O9 S5">
    <cfRule type="cellIs" dxfId="137" priority="9" operator="lessThan">
      <formula>$J$3</formula>
    </cfRule>
    <cfRule type="cellIs" dxfId="136" priority="10" operator="greaterThan">
      <formula>$J$3</formula>
    </cfRule>
  </conditionalFormatting>
  <conditionalFormatting sqref="O3">
    <cfRule type="cellIs" dxfId="135" priority="3" operator="greaterThan">
      <formula>$J$3</formula>
    </cfRule>
    <cfRule type="cellIs" dxfId="134" priority="4" operator="lessThan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>
  <dimension ref="B3:U35"/>
  <sheetViews>
    <sheetView workbookViewId="0">
      <selection activeCell="I19" sqref="I19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3" spans="2:21">
      <c r="I3" t="s">
        <v>3</v>
      </c>
      <c r="J3" s="26">
        <v>70.177987317893127</v>
      </c>
      <c r="N3" s="23"/>
      <c r="O3" s="27"/>
      <c r="P3" s="47"/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(B15*J3)</f>
        <v>11.531373181925659</v>
      </c>
      <c r="K4" s="4">
        <f>(J4/D15-1)</f>
        <v>0.16022883523263864</v>
      </c>
      <c r="O4" s="26"/>
      <c r="P4" s="26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26">
        <f>(D5/B5)</f>
        <v>65.731785393608504</v>
      </c>
      <c r="D5" s="26">
        <v>0.5</v>
      </c>
      <c r="N5" t="s">
        <v>30</v>
      </c>
      <c r="O5" t="s">
        <v>1</v>
      </c>
      <c r="P5" t="s">
        <v>2</v>
      </c>
      <c r="R5" s="1">
        <f>(B5)</f>
        <v>7.6066700000000003E-3</v>
      </c>
      <c r="S5" s="26">
        <f>(T5/R5)</f>
        <v>65.731785393608504</v>
      </c>
      <c r="T5" s="26">
        <f>(D5)</f>
        <v>0.5</v>
      </c>
    </row>
    <row r="6" spans="2:21">
      <c r="B6" s="2">
        <v>1.3585100000000001E-3</v>
      </c>
      <c r="C6" s="29">
        <v>0</v>
      </c>
      <c r="D6" s="30">
        <f>(B6*C6)</f>
        <v>0</v>
      </c>
      <c r="E6" s="26">
        <f>(B6*J3)</f>
        <v>9.5337497551230999E-2</v>
      </c>
      <c r="M6" t="s">
        <v>10</v>
      </c>
      <c r="N6" s="52">
        <f>(SUM(R$5:R$8)/5)</f>
        <v>3.2863220000000005E-2</v>
      </c>
      <c r="O6" s="26">
        <f>($C$7*[1]Params!K8)</f>
        <v>89.451451451451447</v>
      </c>
      <c r="P6" s="26">
        <f>(O6*N6)</f>
        <v>2.9396627283683685</v>
      </c>
      <c r="R6" s="2">
        <f>(B6)</f>
        <v>1.3585100000000001E-3</v>
      </c>
      <c r="S6" s="29">
        <f>(T6/R6)</f>
        <v>0</v>
      </c>
      <c r="T6" s="30">
        <f>(D6)</f>
        <v>0</v>
      </c>
    </row>
    <row r="7" spans="2:21">
      <c r="B7" s="1">
        <v>0.14485500000000001</v>
      </c>
      <c r="C7" s="26">
        <f t="shared" ref="C7:C13" si="0">(D7/B7)</f>
        <v>68.808808808808806</v>
      </c>
      <c r="D7" s="26">
        <v>9.9672999999999998</v>
      </c>
      <c r="N7" s="52">
        <f>(SUM(R$5:R$8)/5)</f>
        <v>3.2863220000000005E-2</v>
      </c>
      <c r="O7" s="26">
        <f>($C$7*[1]Params!K9)</f>
        <v>110.09409409409409</v>
      </c>
      <c r="P7" s="26">
        <f>(O7*N7)</f>
        <v>3.6180464349149153</v>
      </c>
      <c r="R7" s="1">
        <f>(B7)</f>
        <v>0.14485500000000001</v>
      </c>
      <c r="S7" s="26">
        <f>(T7/R7)</f>
        <v>68.808808808808806</v>
      </c>
      <c r="T7" s="26">
        <f>(D7)</f>
        <v>9.9672999999999998</v>
      </c>
    </row>
    <row r="8" spans="2:21">
      <c r="B8" s="1">
        <v>-3.0510700000000002E-2</v>
      </c>
      <c r="C8" s="26">
        <f t="shared" si="0"/>
        <v>91.202314270075746</v>
      </c>
      <c r="D8" s="26">
        <v>-2.7826464500000001</v>
      </c>
      <c r="N8" s="52">
        <f>(SUM(R$5:R$8)/5)</f>
        <v>3.2863220000000005E-2</v>
      </c>
      <c r="O8" s="26">
        <f>($C$7*[1]Params!K10)</f>
        <v>151.37937937937937</v>
      </c>
      <c r="P8" s="26">
        <f>(O8*N8)</f>
        <v>4.9748138480080089</v>
      </c>
      <c r="R8" s="1">
        <f>(B8+B9)+B11+B12+B10+B13</f>
        <v>1.0495920000000006E-2</v>
      </c>
      <c r="S8" s="26">
        <v>0</v>
      </c>
      <c r="T8" s="26">
        <f>(D8+D9)+D11+D12+D10+D13</f>
        <v>-0.52842171000000038</v>
      </c>
      <c r="U8" s="27">
        <f>R8*J3-T8</f>
        <v>1.2650042506496217</v>
      </c>
    </row>
    <row r="9" spans="2:21">
      <c r="B9" s="1">
        <v>3.3835320000000002E-2</v>
      </c>
      <c r="C9" s="26">
        <f t="shared" si="0"/>
        <v>77.433876789106762</v>
      </c>
      <c r="D9" s="26">
        <v>2.62</v>
      </c>
      <c r="N9" s="52">
        <f>(SUM(R$5:R$8)/5)</f>
        <v>3.2863220000000005E-2</v>
      </c>
      <c r="O9" s="26">
        <f>($C$7*[1]Params!K11)</f>
        <v>344.04404404404403</v>
      </c>
      <c r="P9" s="26">
        <f>(O9*N9)</f>
        <v>11.306395109109111</v>
      </c>
      <c r="R9" s="1"/>
      <c r="S9" s="26"/>
      <c r="T9" s="26"/>
      <c r="U9" s="27"/>
    </row>
    <row r="10" spans="2:21">
      <c r="B10" s="1">
        <v>-3.1253999999999997E-2</v>
      </c>
      <c r="C10" s="26">
        <f t="shared" si="0"/>
        <v>91.251872400332772</v>
      </c>
      <c r="D10" s="26">
        <v>-2.85198602</v>
      </c>
      <c r="O10" s="26"/>
      <c r="P10" s="26"/>
      <c r="R10" s="1"/>
      <c r="S10" s="26"/>
      <c r="T10" s="27"/>
    </row>
    <row r="11" spans="2:21">
      <c r="B11" s="1">
        <v>-3.1260999999999997E-2</v>
      </c>
      <c r="C11" s="26">
        <f t="shared" si="0"/>
        <v>110.89821950673365</v>
      </c>
      <c r="D11" s="26">
        <v>-3.4667892400000002</v>
      </c>
      <c r="O11" s="26"/>
      <c r="P11" s="26">
        <f>(SUM(P6:P9))</f>
        <v>22.838918120400404</v>
      </c>
    </row>
    <row r="12" spans="2:21">
      <c r="B12" s="1">
        <v>3.4712279999999998E-2</v>
      </c>
      <c r="C12" s="26">
        <f t="shared" si="0"/>
        <v>93.914891214290734</v>
      </c>
      <c r="D12" s="26">
        <v>3.26</v>
      </c>
      <c r="O12" s="26"/>
      <c r="P12" s="26"/>
    </row>
    <row r="13" spans="2:21">
      <c r="B13" s="1">
        <v>3.4974020000000001E-2</v>
      </c>
      <c r="C13" s="26">
        <f t="shared" si="0"/>
        <v>77.000013152620141</v>
      </c>
      <c r="D13" s="26">
        <v>2.6930000000000001</v>
      </c>
      <c r="O13" s="26"/>
      <c r="P13" s="26"/>
    </row>
    <row r="14" spans="2:21">
      <c r="F14" t="s">
        <v>12</v>
      </c>
      <c r="G14" s="26">
        <f>(D15/B15)</f>
        <v>60.486332684380898</v>
      </c>
    </row>
    <row r="15" spans="2:21">
      <c r="B15" s="1">
        <f>(SUM(B5:B14))</f>
        <v>0.16431609999999999</v>
      </c>
      <c r="D15" s="26">
        <f>(SUM(D5:D14))</f>
        <v>9.9388782899999999</v>
      </c>
    </row>
    <row r="21" spans="18:20">
      <c r="R21">
        <f>(SUM(R5:R20))</f>
        <v>0.16431610000000002</v>
      </c>
      <c r="T21" s="26">
        <f>(SUM(T5:T20))</f>
        <v>9.9388782899999999</v>
      </c>
    </row>
    <row r="35" spans="9:9">
      <c r="I35" s="27"/>
    </row>
  </sheetData>
  <conditionalFormatting sqref="C5 C7 O6:O9 S5 S7">
    <cfRule type="cellIs" dxfId="133" priority="21" operator="lessThan">
      <formula>$J$3</formula>
    </cfRule>
    <cfRule type="cellIs" dxfId="132" priority="22" operator="greaterThan">
      <formula>$J$3</formula>
    </cfRule>
  </conditionalFormatting>
  <conditionalFormatting sqref="C9">
    <cfRule type="cellIs" dxfId="131" priority="9" operator="lessThan">
      <formula>$J$3</formula>
    </cfRule>
    <cfRule type="cellIs" dxfId="130" priority="10" operator="greaterThan">
      <formula>$J$3</formula>
    </cfRule>
  </conditionalFormatting>
  <conditionalFormatting sqref="C12:C13">
    <cfRule type="cellIs" dxfId="129" priority="5" operator="lessThan">
      <formula>$J$3</formula>
    </cfRule>
    <cfRule type="cellIs" dxfId="128" priority="6" operator="greaterThan">
      <formula>$J$3</formula>
    </cfRule>
  </conditionalFormatting>
  <conditionalFormatting sqref="O6:O7">
    <cfRule type="cellIs" dxfId="127" priority="3" operator="lessThan">
      <formula>$J$3</formula>
    </cfRule>
    <cfRule type="cellIs" dxfId="126" priority="4" operator="greaterThan">
      <formula>$J$3</formula>
    </cfRule>
  </conditionalFormatting>
  <conditionalFormatting sqref="G14">
    <cfRule type="cellIs" dxfId="125" priority="1" operator="lessThan">
      <formula>$J$3</formula>
    </cfRule>
    <cfRule type="cellIs" dxfId="12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2:P23"/>
  <sheetViews>
    <sheetView workbookViewId="0">
      <selection activeCell="O3" sqref="O3"/>
    </sheetView>
  </sheetViews>
  <sheetFormatPr baseColWidth="10" defaultColWidth="9.140625" defaultRowHeight="15"/>
  <cols>
    <col min="2" max="2" width="9.28515625" style="25" bestFit="1" customWidth="1"/>
    <col min="3" max="3" width="9.5703125" style="25" customWidth="1"/>
    <col min="4" max="4" width="10.28515625" style="25" bestFit="1" customWidth="1"/>
    <col min="9" max="9" width="12.42578125" style="25" bestFit="1" customWidth="1"/>
    <col min="13" max="13" width="9.140625" style="25" customWidth="1"/>
    <col min="14" max="14" width="11.5703125" style="25" bestFit="1" customWidth="1"/>
    <col min="15" max="15" width="11.28515625" style="25" bestFit="1" customWidth="1"/>
    <col min="16" max="16" width="9.140625" style="25" customWidth="1"/>
  </cols>
  <sheetData>
    <row r="2" spans="2:16">
      <c r="N2" t="s">
        <v>0</v>
      </c>
      <c r="O2" t="s">
        <v>1</v>
      </c>
      <c r="P2" t="s">
        <v>2</v>
      </c>
    </row>
    <row r="3" spans="2:16">
      <c r="I3" t="s">
        <v>3</v>
      </c>
      <c r="J3" s="26">
        <v>0.68451308126494725</v>
      </c>
      <c r="M3" t="s">
        <v>4</v>
      </c>
      <c r="N3" s="38">
        <f>-B7</f>
        <v>3.2590001599999998</v>
      </c>
      <c r="O3" s="35">
        <v>0</v>
      </c>
      <c r="P3" s="26">
        <f>(N3*O3)</f>
        <v>0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(B23*J3)</f>
        <v>5.0759318478537345</v>
      </c>
    </row>
    <row r="5" spans="2:16">
      <c r="B5">
        <v>3.2527046099999999</v>
      </c>
      <c r="C5" s="26">
        <v>0</v>
      </c>
      <c r="D5" s="26">
        <f>(B5*C5)</f>
        <v>0</v>
      </c>
      <c r="N5" t="s">
        <v>30</v>
      </c>
      <c r="O5" t="s">
        <v>1</v>
      </c>
      <c r="P5" t="s">
        <v>2</v>
      </c>
    </row>
    <row r="6" spans="2:16">
      <c r="B6" s="53">
        <v>5.8608449999999999E-2</v>
      </c>
      <c r="C6" s="29">
        <v>0</v>
      </c>
      <c r="D6" s="30">
        <f>(B6*C6)</f>
        <v>0</v>
      </c>
      <c r="E6" s="26">
        <f>(B6*J3)</f>
        <v>4.0118250697662595E-2</v>
      </c>
      <c r="M6" t="s">
        <v>4</v>
      </c>
      <c r="N6" s="52">
        <f>B21</f>
        <v>3.25</v>
      </c>
      <c r="O6" s="35">
        <f>(C21*2)</f>
        <v>1.4265794584615383</v>
      </c>
      <c r="P6" s="26">
        <f>(N6*O6)</f>
        <v>4.6363832399999998</v>
      </c>
    </row>
    <row r="7" spans="2:16">
      <c r="B7" s="52">
        <f>-3.25700016-0.002</f>
        <v>-3.2590001599999998</v>
      </c>
      <c r="C7" s="26">
        <f>(D7/B7)</f>
        <v>1.6561619039625946</v>
      </c>
      <c r="D7" s="26">
        <v>-5.3974319099999999</v>
      </c>
    </row>
    <row r="8" spans="2:16">
      <c r="B8">
        <v>0.31639059000000003</v>
      </c>
      <c r="C8" s="26">
        <v>0</v>
      </c>
      <c r="D8" s="26">
        <f t="shared" ref="D8:D20" si="0">(B8*C8)</f>
        <v>0</v>
      </c>
    </row>
    <row r="9" spans="2:16">
      <c r="B9">
        <v>0.31639059000000003</v>
      </c>
      <c r="C9" s="26">
        <v>0</v>
      </c>
      <c r="D9" s="26">
        <f t="shared" si="0"/>
        <v>0</v>
      </c>
      <c r="N9" s="20"/>
      <c r="O9" s="35"/>
      <c r="P9" s="26"/>
    </row>
    <row r="10" spans="2:16">
      <c r="B10">
        <v>0.31639059000000003</v>
      </c>
      <c r="C10" s="26">
        <v>0</v>
      </c>
      <c r="D10" s="26">
        <f t="shared" si="0"/>
        <v>0</v>
      </c>
      <c r="O10" s="35"/>
    </row>
    <row r="11" spans="2:16">
      <c r="B11">
        <v>0.31639059000000003</v>
      </c>
      <c r="C11" s="26">
        <v>0</v>
      </c>
      <c r="D11" s="26">
        <f t="shared" si="0"/>
        <v>0</v>
      </c>
    </row>
    <row r="12" spans="2:16">
      <c r="B12">
        <v>0.31639059000000003</v>
      </c>
      <c r="C12" s="26">
        <v>0</v>
      </c>
      <c r="D12" s="26">
        <f t="shared" si="0"/>
        <v>0</v>
      </c>
    </row>
    <row r="13" spans="2:16">
      <c r="B13">
        <v>0.31639059000000003</v>
      </c>
      <c r="C13" s="26">
        <v>0</v>
      </c>
      <c r="D13" s="26">
        <f t="shared" si="0"/>
        <v>0</v>
      </c>
    </row>
    <row r="14" spans="2:16">
      <c r="B14">
        <v>0.31639059000000003</v>
      </c>
      <c r="C14" s="26">
        <v>0</v>
      </c>
      <c r="D14" s="26">
        <f t="shared" si="0"/>
        <v>0</v>
      </c>
    </row>
    <row r="15" spans="2:16">
      <c r="B15">
        <v>0.31639059000000003</v>
      </c>
      <c r="C15" s="26">
        <v>0</v>
      </c>
      <c r="D15" s="26">
        <f t="shared" si="0"/>
        <v>0</v>
      </c>
    </row>
    <row r="16" spans="2:16">
      <c r="B16">
        <v>0.31639059000000003</v>
      </c>
      <c r="C16" s="26">
        <v>0</v>
      </c>
      <c r="D16" s="26">
        <f t="shared" si="0"/>
        <v>0</v>
      </c>
    </row>
    <row r="17" spans="2:4">
      <c r="B17">
        <v>0.31639059000000003</v>
      </c>
      <c r="C17" s="26">
        <v>0</v>
      </c>
      <c r="D17" s="26">
        <f t="shared" si="0"/>
        <v>0</v>
      </c>
    </row>
    <row r="18" spans="2:4">
      <c r="B18">
        <v>0.31639059000000003</v>
      </c>
      <c r="C18" s="26">
        <v>0</v>
      </c>
      <c r="D18" s="26">
        <f t="shared" si="0"/>
        <v>0</v>
      </c>
    </row>
    <row r="19" spans="2:4">
      <c r="B19">
        <v>0.31639059000000003</v>
      </c>
      <c r="C19" s="26">
        <v>0</v>
      </c>
      <c r="D19" s="26">
        <f t="shared" si="0"/>
        <v>0</v>
      </c>
    </row>
    <row r="20" spans="2:4">
      <c r="B20">
        <v>0.31639059000000003</v>
      </c>
      <c r="C20" s="26">
        <v>0</v>
      </c>
      <c r="D20" s="26">
        <f t="shared" si="0"/>
        <v>0</v>
      </c>
    </row>
    <row r="21" spans="2:4">
      <c r="B21" s="52">
        <v>3.25</v>
      </c>
      <c r="C21" s="26">
        <f>D21/B21</f>
        <v>0.71328972923076917</v>
      </c>
      <c r="D21" s="26">
        <v>2.3181916199999999</v>
      </c>
    </row>
    <row r="23" spans="2:4">
      <c r="B23">
        <f>(SUM(B5:B22))</f>
        <v>7.4153905700000013</v>
      </c>
      <c r="D23" s="26">
        <f>(SUM(D5:D22))</f>
        <v>-3.07924029</v>
      </c>
    </row>
  </sheetData>
  <conditionalFormatting sqref="C21 O6">
    <cfRule type="cellIs" dxfId="123" priority="7" operator="lessThan">
      <formula>$J$3</formula>
    </cfRule>
    <cfRule type="cellIs" dxfId="122" priority="8" operator="greaterThan">
      <formula>$J$3</formula>
    </cfRule>
  </conditionalFormatting>
  <conditionalFormatting sqref="O3">
    <cfRule type="cellIs" dxfId="121" priority="3" operator="greaterThan">
      <formula>$J$3</formula>
    </cfRule>
    <cfRule type="cellIs" dxfId="120" priority="4" operator="lessThan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>
  <dimension ref="B2:T40"/>
  <sheetViews>
    <sheetView workbookViewId="0">
      <selection activeCell="L18" sqref="L18"/>
    </sheetView>
  </sheetViews>
  <sheetFormatPr baseColWidth="10" defaultColWidth="9.140625" defaultRowHeight="15"/>
  <cols>
    <col min="2" max="2" width="12.7109375" style="25" bestFit="1" customWidth="1"/>
    <col min="3" max="3" width="13" style="25" bestFit="1" customWidth="1"/>
    <col min="7" max="7" width="11.7109375" style="25" bestFit="1" customWidth="1"/>
    <col min="9" max="9" width="12.42578125" style="25" bestFit="1" customWidth="1"/>
    <col min="10" max="10" width="11" style="25" bestFit="1" customWidth="1"/>
    <col min="14" max="14" width="11.5703125" style="25" bestFit="1" customWidth="1"/>
    <col min="15" max="15" width="11.28515625" style="25" bestFit="1" customWidth="1"/>
    <col min="18" max="18" width="12" style="25" bestFit="1" customWidth="1"/>
    <col min="19" max="19" width="13" style="25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1.2856744889069079E-4</v>
      </c>
      <c r="M3" t="s">
        <v>4</v>
      </c>
      <c r="N3" s="38">
        <f>400000*1.01-B40</f>
        <v>-208.90010931051802</v>
      </c>
      <c r="O3" s="35">
        <v>0</v>
      </c>
      <c r="P3" s="26">
        <f>(N3*O3)</f>
        <v>0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6">
        <f>(B40*J3)</f>
        <v>51.968107105966119</v>
      </c>
      <c r="R4" t="s">
        <v>5</v>
      </c>
      <c r="S4" t="s">
        <v>6</v>
      </c>
      <c r="T4" t="s">
        <v>7</v>
      </c>
    </row>
    <row r="5" spans="2:20">
      <c r="B5" s="37">
        <v>0.2363634506</v>
      </c>
      <c r="C5" s="35">
        <v>115.55</v>
      </c>
      <c r="D5" s="26">
        <f>(B5*C5)</f>
        <v>27.311796716829999</v>
      </c>
      <c r="N5" t="s">
        <v>30</v>
      </c>
      <c r="O5" t="s">
        <v>1</v>
      </c>
      <c r="P5" t="s">
        <v>2</v>
      </c>
      <c r="R5" s="37">
        <f t="shared" ref="R5:R12" si="0">(B5)</f>
        <v>0.2363634506</v>
      </c>
      <c r="S5" s="35">
        <v>115.55</v>
      </c>
      <c r="T5" s="26">
        <f>(R5*S5)</f>
        <v>27.311796716829999</v>
      </c>
    </row>
    <row r="6" spans="2:20">
      <c r="B6" s="37">
        <v>0.3</v>
      </c>
      <c r="C6" s="35">
        <v>91.3</v>
      </c>
      <c r="D6" s="26">
        <f>(B6*C6)</f>
        <v>27.389999999999997</v>
      </c>
      <c r="M6" t="s">
        <v>4</v>
      </c>
      <c r="N6">
        <f>B38/1.5</f>
        <v>184000</v>
      </c>
      <c r="O6" s="35">
        <f>C38*2</f>
        <v>1.819935254347826E-4</v>
      </c>
      <c r="P6" s="27">
        <f>O6*N6</f>
        <v>33.486808679999996</v>
      </c>
      <c r="R6" s="37">
        <f t="shared" si="0"/>
        <v>0.3</v>
      </c>
      <c r="S6" s="35">
        <v>91.3</v>
      </c>
      <c r="T6" s="26">
        <f>(R6*S6)</f>
        <v>27.389999999999997</v>
      </c>
    </row>
    <row r="7" spans="2:20">
      <c r="B7" s="37">
        <v>2.7904138700000001</v>
      </c>
      <c r="C7" s="35">
        <v>6.5</v>
      </c>
      <c r="D7" s="26">
        <f>(B7*C7)</f>
        <v>18.137690155000001</v>
      </c>
      <c r="N7">
        <f>(INDEX(B5:B17,MATCH(O7/2,C5:C17,0)))</f>
        <v>40000</v>
      </c>
      <c r="O7" s="35">
        <f>(MIN(C5:C8,C14:C16)*2)</f>
        <v>5.0000000000000001E-4</v>
      </c>
      <c r="P7" s="26">
        <f>(N7*O7)</f>
        <v>20</v>
      </c>
      <c r="R7" s="37">
        <f t="shared" si="0"/>
        <v>2.7904138700000001</v>
      </c>
      <c r="S7" s="35">
        <v>6.5</v>
      </c>
      <c r="T7" s="26">
        <f>(R7*S7)</f>
        <v>18.137690155000001</v>
      </c>
    </row>
    <row r="8" spans="2:20">
      <c r="B8" s="37">
        <v>722</v>
      </c>
      <c r="C8" s="35">
        <f t="shared" ref="C8:C16" si="1">(D8/B8)</f>
        <v>2.077562326869806E-2</v>
      </c>
      <c r="D8" s="26">
        <v>15</v>
      </c>
      <c r="N8" s="21">
        <f>B40/4</f>
        <v>101052.22502732763</v>
      </c>
      <c r="O8" s="35">
        <v>5.0000000000000001E-4</v>
      </c>
      <c r="P8" s="26">
        <f>(N8*O8)</f>
        <v>50.526112513663819</v>
      </c>
      <c r="R8" s="37">
        <f t="shared" si="0"/>
        <v>722</v>
      </c>
      <c r="S8" s="35">
        <f t="shared" ref="S8:S13" si="2">(T8/R8)</f>
        <v>2.077562326869806E-2</v>
      </c>
      <c r="T8" s="26">
        <v>15</v>
      </c>
    </row>
    <row r="9" spans="2:20">
      <c r="B9" s="37">
        <f>(891400)</f>
        <v>891400</v>
      </c>
      <c r="C9" s="35">
        <f t="shared" si="1"/>
        <v>1.1218308279111509E-5</v>
      </c>
      <c r="D9" s="26">
        <v>10</v>
      </c>
      <c r="R9" s="37">
        <f t="shared" si="0"/>
        <v>891400</v>
      </c>
      <c r="S9" s="35">
        <f t="shared" si="2"/>
        <v>1.1218308279111509E-5</v>
      </c>
      <c r="T9" s="26">
        <v>10</v>
      </c>
    </row>
    <row r="10" spans="2:20">
      <c r="B10" s="37">
        <v>-200000</v>
      </c>
      <c r="C10" s="35">
        <f t="shared" si="1"/>
        <v>6.0000000000000002E-5</v>
      </c>
      <c r="D10" s="26">
        <v>-12</v>
      </c>
      <c r="O10" s="35"/>
      <c r="R10" s="37">
        <f t="shared" si="0"/>
        <v>-200000</v>
      </c>
      <c r="S10" s="35">
        <f t="shared" si="2"/>
        <v>6.0000000000000002E-5</v>
      </c>
      <c r="T10" s="26">
        <v>-12</v>
      </c>
    </row>
    <row r="11" spans="2:20">
      <c r="B11" s="37">
        <v>-43873</v>
      </c>
      <c r="C11" s="35">
        <f t="shared" si="1"/>
        <v>2.2793061791990518E-4</v>
      </c>
      <c r="D11" s="26">
        <v>-10</v>
      </c>
      <c r="R11" s="37">
        <f t="shared" si="0"/>
        <v>-43873</v>
      </c>
      <c r="S11" s="35">
        <f t="shared" si="2"/>
        <v>2.2793061791990518E-4</v>
      </c>
      <c r="T11" s="26">
        <v>-10</v>
      </c>
    </row>
    <row r="12" spans="2:20">
      <c r="B12" s="37">
        <v>-20000</v>
      </c>
      <c r="C12" s="35">
        <f t="shared" si="1"/>
        <v>5.0000000000000001E-4</v>
      </c>
      <c r="D12" s="26">
        <v>-10</v>
      </c>
      <c r="R12" s="37">
        <f t="shared" si="0"/>
        <v>-20000</v>
      </c>
      <c r="S12" s="35">
        <f t="shared" si="2"/>
        <v>5.0000000000000001E-4</v>
      </c>
      <c r="T12" s="26">
        <v>-10</v>
      </c>
    </row>
    <row r="13" spans="2:20">
      <c r="B13" s="37">
        <v>-66800</v>
      </c>
      <c r="C13" s="35">
        <f t="shared" si="1"/>
        <v>5.0000000000000001E-4</v>
      </c>
      <c r="D13" s="26">
        <v>-33.4</v>
      </c>
      <c r="R13" s="37">
        <f>(B13+B14+B15+B16)</f>
        <v>43423</v>
      </c>
      <c r="S13" s="35">
        <f t="shared" si="2"/>
        <v>1.0594270317573637E-4</v>
      </c>
      <c r="T13" s="26">
        <f>(D13+D15+D14+D16)</f>
        <v>4.6003500000000006</v>
      </c>
    </row>
    <row r="14" spans="2:20">
      <c r="B14" s="37">
        <v>22223</v>
      </c>
      <c r="C14" s="35">
        <f t="shared" si="1"/>
        <v>4.4999999999999999E-4</v>
      </c>
      <c r="D14" s="26">
        <v>10.000349999999999</v>
      </c>
      <c r="R14" s="37">
        <f t="shared" ref="R14:R20" si="3">(B17)</f>
        <v>-150000</v>
      </c>
      <c r="S14" s="35">
        <v>1E-4</v>
      </c>
      <c r="T14" s="26">
        <f>(S14*R14)</f>
        <v>-15</v>
      </c>
    </row>
    <row r="15" spans="2:20">
      <c r="B15" s="37">
        <v>48000</v>
      </c>
      <c r="C15" s="35">
        <f t="shared" si="1"/>
        <v>3.7500000000000001E-4</v>
      </c>
      <c r="D15" s="26">
        <v>18</v>
      </c>
      <c r="R15" s="49">
        <f t="shared" si="3"/>
        <v>5054.1573753800003</v>
      </c>
      <c r="S15" s="29">
        <v>0</v>
      </c>
      <c r="T15" s="30">
        <f>(R15*S15)</f>
        <v>0</v>
      </c>
    </row>
    <row r="16" spans="2:20">
      <c r="B16" s="37">
        <v>40000</v>
      </c>
      <c r="C16" s="35">
        <f t="shared" si="1"/>
        <v>2.5000000000000001E-4</v>
      </c>
      <c r="D16" s="26">
        <v>10</v>
      </c>
      <c r="R16" s="37">
        <f t="shared" si="3"/>
        <v>-60293.19</v>
      </c>
      <c r="S16" s="35">
        <v>1.829E-4</v>
      </c>
      <c r="T16" s="26">
        <f>(S16*R16)</f>
        <v>-11.027624451000001</v>
      </c>
    </row>
    <row r="17" spans="2:20">
      <c r="B17" s="37">
        <v>-150000</v>
      </c>
      <c r="C17" s="35">
        <v>1E-4</v>
      </c>
      <c r="D17" s="26">
        <f>(C17*B17)</f>
        <v>-15</v>
      </c>
      <c r="R17" s="37">
        <f t="shared" si="3"/>
        <v>-41141.35</v>
      </c>
      <c r="S17" s="35">
        <v>1.828E-4</v>
      </c>
      <c r="T17" s="26">
        <f>(S17*R17)</f>
        <v>-7.5206387799999996</v>
      </c>
    </row>
    <row r="18" spans="2:20">
      <c r="B18" s="49">
        <v>5054.1573753800003</v>
      </c>
      <c r="C18" s="29">
        <v>0</v>
      </c>
      <c r="D18" s="30">
        <f>(B18*C18)</f>
        <v>0</v>
      </c>
      <c r="E18" s="26">
        <f>(B18*J3)</f>
        <v>0.64980012004467613</v>
      </c>
      <c r="R18" s="37">
        <f t="shared" si="3"/>
        <v>-26969.34</v>
      </c>
      <c r="S18" s="35">
        <f>(T18/R18)</f>
        <v>4.0323567428791359E-4</v>
      </c>
      <c r="T18" s="26">
        <v>-10.875</v>
      </c>
    </row>
    <row r="19" spans="2:20">
      <c r="B19" s="37">
        <v>-60293.19</v>
      </c>
      <c r="C19" s="35">
        <v>1.829E-4</v>
      </c>
      <c r="D19" s="26">
        <f>(C19*B19)</f>
        <v>-11.027624451000001</v>
      </c>
      <c r="R19" s="37">
        <f t="shared" si="3"/>
        <v>-39131.89</v>
      </c>
      <c r="S19" s="35">
        <f>(T19/R19)</f>
        <v>4.0317500636948532E-4</v>
      </c>
      <c r="T19" s="26">
        <v>-15.776999999999999</v>
      </c>
    </row>
    <row r="20" spans="2:20">
      <c r="B20" s="37">
        <v>-41141.35</v>
      </c>
      <c r="C20" s="35">
        <v>1.828E-4</v>
      </c>
      <c r="D20" s="26">
        <f>(C20*B20)</f>
        <v>-7.5206387799999996</v>
      </c>
      <c r="N20" s="37"/>
      <c r="R20" s="37">
        <f t="shared" si="3"/>
        <v>-31019.52</v>
      </c>
      <c r="S20" s="35">
        <f>(T20/R20)</f>
        <v>4.0941961706693071E-4</v>
      </c>
      <c r="T20" s="26">
        <v>-12.7</v>
      </c>
    </row>
    <row r="21" spans="2:20">
      <c r="B21" s="37">
        <v>-26969.34</v>
      </c>
      <c r="C21" s="35">
        <f>(D21/B21)</f>
        <v>4.0323567428791359E-4</v>
      </c>
      <c r="D21" s="26">
        <v>-10.875</v>
      </c>
      <c r="R21" s="37">
        <f>(B24+B25+B26)</f>
        <v>-55.650000000002365</v>
      </c>
      <c r="S21" s="35">
        <f>(T21/R21)</f>
        <v>1.4062807235038053E-2</v>
      </c>
      <c r="T21" s="26">
        <f>(D24+D25+D26)</f>
        <v>-0.78259522262990089</v>
      </c>
    </row>
    <row r="22" spans="2:20">
      <c r="B22" s="37">
        <v>-39131.89</v>
      </c>
      <c r="C22" s="35">
        <f>(D22/B22)</f>
        <v>4.0317500636948532E-4</v>
      </c>
      <c r="D22" s="26">
        <v>-15.776999999999999</v>
      </c>
      <c r="R22" s="37">
        <f>(B27+B28)</f>
        <v>0</v>
      </c>
      <c r="S22" s="35">
        <v>0</v>
      </c>
      <c r="T22" s="26">
        <f>(D27+D28)</f>
        <v>-2.4399999999999995</v>
      </c>
    </row>
    <row r="23" spans="2:20">
      <c r="B23" s="37">
        <v>-31019.52</v>
      </c>
      <c r="C23" s="35">
        <f>(D23/B23)</f>
        <v>4.0941961706693071E-4</v>
      </c>
      <c r="D23" s="26">
        <v>-12.7</v>
      </c>
      <c r="R23" s="37">
        <f>(B29+B30)</f>
        <v>4000</v>
      </c>
      <c r="S23" s="35">
        <v>0</v>
      </c>
      <c r="T23" s="26">
        <f>(D29+D30)</f>
        <v>-1.9700000000000006</v>
      </c>
    </row>
    <row r="24" spans="2:20">
      <c r="B24" s="37">
        <v>-20035.650000000001</v>
      </c>
      <c r="C24" s="35">
        <f>(D24/B24)</f>
        <v>5.5501069343894503E-4</v>
      </c>
      <c r="D24" s="26">
        <v>-11.12</v>
      </c>
      <c r="R24" s="37">
        <f>(B31+B32)</f>
        <v>-1.8097233900334686</v>
      </c>
      <c r="S24" s="35">
        <v>0</v>
      </c>
      <c r="T24" s="26">
        <f>(D31+D32)</f>
        <v>-13.982335980000002</v>
      </c>
    </row>
    <row r="25" spans="2:20">
      <c r="B25" s="37">
        <f>(15252.99-15.25299)</f>
        <v>15237.737009999999</v>
      </c>
      <c r="C25" s="35">
        <v>5.1738999999999995E-4</v>
      </c>
      <c r="D25" s="26">
        <f>(B25*C25)</f>
        <v>7.8838527516038983</v>
      </c>
      <c r="N25" s="37"/>
      <c r="R25" s="37">
        <f>(B33+B34+B35)</f>
        <v>8092.1656799999982</v>
      </c>
      <c r="S25" s="35">
        <v>0</v>
      </c>
      <c r="T25" s="26">
        <f>(D33+D34+D35)</f>
        <v>-0.14500000000000135</v>
      </c>
    </row>
    <row r="26" spans="2:20">
      <c r="B26" s="37">
        <f>(4747.01-4.74701)</f>
        <v>4742.2629900000002</v>
      </c>
      <c r="C26" s="35">
        <v>5.1738000000000001E-4</v>
      </c>
      <c r="D26" s="26">
        <f>(B26*C26)</f>
        <v>2.4535520257662</v>
      </c>
      <c r="R26" s="37">
        <f>B38+B37+B36</f>
        <v>64000</v>
      </c>
      <c r="S26" s="35">
        <v>0</v>
      </c>
      <c r="T26" s="27">
        <f>D38+D37+D36</f>
        <v>-29.411918220000004</v>
      </c>
    </row>
    <row r="27" spans="2:20">
      <c r="B27" s="37">
        <v>-40000</v>
      </c>
      <c r="C27" s="35">
        <f t="shared" ref="C27:C38" si="4">(D27/B27)</f>
        <v>3.1099999999999997E-4</v>
      </c>
      <c r="D27" s="26">
        <v>-12.44</v>
      </c>
      <c r="R27" s="37"/>
      <c r="S27" s="35"/>
      <c r="T27" s="27"/>
    </row>
    <row r="28" spans="2:20">
      <c r="B28" s="37">
        <v>40000</v>
      </c>
      <c r="C28" s="35">
        <f t="shared" si="4"/>
        <v>2.5000000000000001E-4</v>
      </c>
      <c r="D28" s="26">
        <v>10</v>
      </c>
    </row>
    <row r="29" spans="2:20">
      <c r="B29" s="37">
        <v>-40000</v>
      </c>
      <c r="C29" s="35">
        <f t="shared" si="4"/>
        <v>3.0975000000000002E-4</v>
      </c>
      <c r="D29" s="26">
        <v>-12.39</v>
      </c>
    </row>
    <row r="30" spans="2:20">
      <c r="B30" s="37">
        <v>44000</v>
      </c>
      <c r="C30" s="35">
        <f t="shared" si="4"/>
        <v>2.3681818181818182E-4</v>
      </c>
      <c r="D30" s="26">
        <v>10.42</v>
      </c>
    </row>
    <row r="31" spans="2:20">
      <c r="B31" s="37">
        <v>-270017.67672339</v>
      </c>
      <c r="C31" s="35">
        <f t="shared" si="4"/>
        <v>1.7847844839198777E-4</v>
      </c>
      <c r="D31" s="26">
        <v>-48.192335980000003</v>
      </c>
    </row>
    <row r="32" spans="2:20">
      <c r="B32" s="37">
        <f>(272743.3*0.99)</f>
        <v>270015.86699999997</v>
      </c>
      <c r="C32" s="35">
        <f t="shared" si="4"/>
        <v>1.2669625818693094E-4</v>
      </c>
      <c r="D32" s="26">
        <v>34.21</v>
      </c>
      <c r="E32" s="27"/>
    </row>
    <row r="33" spans="2:20">
      <c r="B33" s="37">
        <v>-33998.230000000003</v>
      </c>
      <c r="C33" s="35">
        <f t="shared" si="4"/>
        <v>1.8971575873214574E-4</v>
      </c>
      <c r="D33" s="26">
        <v>-6.45</v>
      </c>
    </row>
    <row r="34" spans="2:20">
      <c r="B34" s="37">
        <v>-20001.77</v>
      </c>
      <c r="C34" s="35">
        <f t="shared" si="4"/>
        <v>1.897332086110379E-4</v>
      </c>
      <c r="D34" s="26">
        <v>-3.7949999999999999</v>
      </c>
    </row>
    <row r="35" spans="2:20">
      <c r="B35" s="37">
        <f>(62154.32-62.15432)</f>
        <v>62092.165679999998</v>
      </c>
      <c r="C35" s="35">
        <f t="shared" si="4"/>
        <v>1.6266142257062921E-4</v>
      </c>
      <c r="D35" s="26">
        <v>10.1</v>
      </c>
      <c r="E35" s="26"/>
    </row>
    <row r="36" spans="2:20">
      <c r="B36" s="37">
        <v>-62000</v>
      </c>
      <c r="C36" s="35">
        <f t="shared" si="4"/>
        <v>2.5846530951612908E-4</v>
      </c>
      <c r="D36" s="26">
        <v>-16.024849190000001</v>
      </c>
      <c r="E36" s="26"/>
    </row>
    <row r="37" spans="2:20">
      <c r="B37" s="37">
        <v>-150000</v>
      </c>
      <c r="C37" s="35">
        <f t="shared" si="4"/>
        <v>2.5668117026666668E-4</v>
      </c>
      <c r="D37" s="26">
        <v>-38.502175540000003</v>
      </c>
      <c r="E37" s="26"/>
    </row>
    <row r="38" spans="2:20">
      <c r="B38" s="37">
        <v>276000</v>
      </c>
      <c r="C38" s="35">
        <f t="shared" si="4"/>
        <v>9.0996762717391301E-5</v>
      </c>
      <c r="D38" s="26">
        <f>25.11510651</f>
        <v>25.11510651</v>
      </c>
      <c r="E38" s="26">
        <f>B38*$J$3</f>
        <v>35.484615893830657</v>
      </c>
    </row>
    <row r="40" spans="2:20">
      <c r="B40">
        <f>(SUM(B5:B39))</f>
        <v>404208.90010931052</v>
      </c>
      <c r="D40" s="26">
        <f>(SUM(D5:D39))</f>
        <v>-51.192275781799907</v>
      </c>
      <c r="F40" t="s">
        <v>12</v>
      </c>
      <c r="G40" s="35">
        <f>(D40/B40)</f>
        <v>-1.2664806679901392E-4</v>
      </c>
      <c r="R40">
        <f>(SUM(R5:R39))</f>
        <v>404208.90010931052</v>
      </c>
      <c r="T40" s="26">
        <f>(SUM(T5:T39))</f>
        <v>-51.192275781799914</v>
      </c>
    </row>
  </sheetData>
  <conditionalFormatting sqref="C5:C9 C14:C16 C25:C26 C28 C30 C32 C35 C38 G40 O6:O8 S5:S9 S13">
    <cfRule type="cellIs" dxfId="119" priority="21" operator="lessThan">
      <formula>$J$3</formula>
    </cfRule>
    <cfRule type="cellIs" dxfId="118" priority="22" operator="greaterThan">
      <formula>$J$3</formula>
    </cfRule>
  </conditionalFormatting>
  <conditionalFormatting sqref="O3">
    <cfRule type="cellIs" dxfId="117" priority="7" operator="greaterThan">
      <formula>$J$3</formula>
    </cfRule>
    <cfRule type="cellIs" dxfId="116" priority="8" operator="less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I12" sqref="I12"/>
    </sheetView>
  </sheetViews>
  <sheetFormatPr baseColWidth="10" defaultColWidth="9.140625" defaultRowHeight="15"/>
  <cols>
    <col min="3" max="3" width="8.85546875" style="25" customWidth="1"/>
    <col min="4" max="4" width="10.28515625" style="25" bestFit="1" customWidth="1"/>
    <col min="6" max="6" width="9.28515625" style="25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3" spans="2:21">
      <c r="I3" t="s">
        <v>3</v>
      </c>
      <c r="J3" s="26">
        <v>0.97230536004853196</v>
      </c>
      <c r="N3" s="18"/>
      <c r="O3" s="27"/>
      <c r="P3" s="26"/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(B18*J3)</f>
        <v>62.530348422246739</v>
      </c>
      <c r="K4" s="4">
        <f>(J4/D18-1)</f>
        <v>0.12129205943437071</v>
      </c>
      <c r="O4" s="26"/>
      <c r="P4" s="26"/>
      <c r="R4" t="s">
        <v>5</v>
      </c>
      <c r="S4" t="s">
        <v>6</v>
      </c>
      <c r="T4" t="s">
        <v>7</v>
      </c>
    </row>
    <row r="5" spans="2:21">
      <c r="B5" s="18">
        <v>12.2</v>
      </c>
      <c r="C5" s="26">
        <f>(D5/B5)</f>
        <v>0.8606557377049181</v>
      </c>
      <c r="D5" s="26">
        <v>10.5</v>
      </c>
      <c r="M5" t="s">
        <v>15</v>
      </c>
      <c r="N5" t="s">
        <v>30</v>
      </c>
      <c r="O5" t="s">
        <v>1</v>
      </c>
      <c r="P5" t="s">
        <v>2</v>
      </c>
      <c r="R5" s="18">
        <f>B5</f>
        <v>12.2</v>
      </c>
      <c r="S5" s="26">
        <f>(T5/R5)</f>
        <v>0.8606557377049181</v>
      </c>
      <c r="T5" s="26">
        <f>D5</f>
        <v>10.5</v>
      </c>
    </row>
    <row r="6" spans="2:21">
      <c r="B6" s="19">
        <v>0.33012662999999998</v>
      </c>
      <c r="C6" s="29">
        <v>0</v>
      </c>
      <c r="D6" s="30">
        <f>(B6*C6)</f>
        <v>0</v>
      </c>
      <c r="E6" s="26">
        <f>(B6*J3)</f>
        <v>0.32098389184375847</v>
      </c>
      <c r="M6" t="s">
        <v>10</v>
      </c>
      <c r="N6" s="18">
        <f>($B$7+$R$9+$R$6)/5</f>
        <v>10.187590281777778</v>
      </c>
      <c r="O6" s="26">
        <f>($S$7*[1]Params!K8)</f>
        <v>1.1835463301936211</v>
      </c>
      <c r="P6" s="26">
        <f>(O6*N6)</f>
        <v>12.057485091514287</v>
      </c>
      <c r="R6" s="49">
        <f>(B6)</f>
        <v>0.33012662999999998</v>
      </c>
      <c r="S6" s="29">
        <v>0</v>
      </c>
      <c r="T6" s="30">
        <f>(D6)</f>
        <v>0</v>
      </c>
      <c r="U6" s="26">
        <f>(R6*J3)</f>
        <v>0.32098389184375847</v>
      </c>
    </row>
    <row r="7" spans="2:21">
      <c r="B7" s="18">
        <v>49.976919780000003</v>
      </c>
      <c r="C7" s="26">
        <f t="shared" ref="C7:C14" si="0">(D7/B7)</f>
        <v>0.91042025399509319</v>
      </c>
      <c r="D7" s="26">
        <v>45.5</v>
      </c>
      <c r="E7" t="s">
        <v>15</v>
      </c>
      <c r="N7" s="18">
        <f>($B$7+$R$9+$R$6)/5</f>
        <v>10.187590281777778</v>
      </c>
      <c r="O7" s="26">
        <f>($S$7*[1]Params!K9)</f>
        <v>1.4566724063921492</v>
      </c>
      <c r="P7" s="26">
        <f>(O7*N7)</f>
        <v>14.83998165109451</v>
      </c>
      <c r="R7" s="18">
        <f>B7</f>
        <v>49.976919780000003</v>
      </c>
      <c r="S7" s="26">
        <f>(T7/R7)</f>
        <v>0.91042025399509319</v>
      </c>
      <c r="T7" s="26">
        <f>D7</f>
        <v>45.5</v>
      </c>
      <c r="U7" t="s">
        <v>15</v>
      </c>
    </row>
    <row r="8" spans="2:21">
      <c r="B8" s="18">
        <v>0.63003905000000004</v>
      </c>
      <c r="C8" s="26">
        <f t="shared" si="0"/>
        <v>0.79360160294826165</v>
      </c>
      <c r="D8" s="26">
        <v>0.5</v>
      </c>
      <c r="N8" s="18">
        <f>($B$7+$R$9+$R$6)/5</f>
        <v>10.187590281777778</v>
      </c>
      <c r="O8" s="26">
        <f>($S$7*[1]Params!K10)</f>
        <v>2.0029245587892053</v>
      </c>
      <c r="P8" s="26">
        <f>(O8*N8)</f>
        <v>20.404974770254952</v>
      </c>
      <c r="R8" s="18">
        <f>B8</f>
        <v>0.63003905000000004</v>
      </c>
      <c r="S8" s="26">
        <f>C8</f>
        <v>0.79360160294826165</v>
      </c>
      <c r="T8" s="27">
        <f>D8</f>
        <v>0.5</v>
      </c>
    </row>
    <row r="9" spans="2:21">
      <c r="B9" s="18">
        <v>-1.08</v>
      </c>
      <c r="C9" s="26">
        <f t="shared" si="0"/>
        <v>1.0499999999999998</v>
      </c>
      <c r="D9" s="26">
        <v>-1.1339999999999999</v>
      </c>
      <c r="N9" s="18">
        <f>($B$7+$R$9+$R$6)/5</f>
        <v>10.187590281777778</v>
      </c>
      <c r="O9" s="26">
        <f>($C$7*[1]Params!K11)</f>
        <v>4.5521012699754664</v>
      </c>
      <c r="P9" s="26">
        <f>(O9*N9)</f>
        <v>46.374942659670346</v>
      </c>
      <c r="R9" s="18">
        <f>SUM(B9,B12,B13,B16)</f>
        <v>0.63090499888888907</v>
      </c>
      <c r="S9" s="26">
        <v>0</v>
      </c>
      <c r="T9" s="26">
        <f>SUM(D9,D12,D13,D16)</f>
        <v>-0.16714507569935888</v>
      </c>
      <c r="U9" t="s">
        <v>82</v>
      </c>
    </row>
    <row r="10" spans="2:21">
      <c r="B10" s="18">
        <v>-2.44</v>
      </c>
      <c r="C10" s="26">
        <f t="shared" si="0"/>
        <v>1.0837143524590165</v>
      </c>
      <c r="D10" s="26">
        <v>-2.6442630199999999</v>
      </c>
      <c r="O10" s="26"/>
      <c r="P10" s="26"/>
      <c r="R10" s="18">
        <f>SUM(B10,B11,B14,B15)</f>
        <v>0.54343987111111103</v>
      </c>
      <c r="S10" s="26">
        <v>0</v>
      </c>
      <c r="T10" s="26">
        <f>SUM(D10,D11,D14,D15)</f>
        <v>-0.56652009999999953</v>
      </c>
      <c r="U10" t="s">
        <v>83</v>
      </c>
    </row>
    <row r="11" spans="2:21">
      <c r="B11" s="18">
        <v>-2.44</v>
      </c>
      <c r="C11" s="26">
        <f t="shared" si="0"/>
        <v>1.306959131147541</v>
      </c>
      <c r="D11" s="26">
        <v>-3.18898028</v>
      </c>
      <c r="O11" s="26"/>
      <c r="P11" s="26">
        <f>(SUM(P6:P9))</f>
        <v>93.67738417253409</v>
      </c>
      <c r="R11" s="18"/>
      <c r="S11" s="26"/>
      <c r="T11" s="26"/>
    </row>
    <row r="12" spans="2:21">
      <c r="B12" s="18">
        <v>-2.72</v>
      </c>
      <c r="C12" s="26">
        <f t="shared" si="0"/>
        <v>1.4766262647058821</v>
      </c>
      <c r="D12" s="26">
        <v>-4.0164234399999996</v>
      </c>
      <c r="O12" s="26"/>
      <c r="P12" s="26"/>
      <c r="S12" s="26"/>
      <c r="T12" s="26"/>
    </row>
    <row r="13" spans="2:21">
      <c r="B13" s="18">
        <v>3.0223285400000002</v>
      </c>
      <c r="C13" s="26">
        <f t="shared" si="0"/>
        <v>1.2540000035866385</v>
      </c>
      <c r="D13" s="26">
        <v>3.79</v>
      </c>
      <c r="N13" t="s">
        <v>30</v>
      </c>
      <c r="O13" t="s">
        <v>1</v>
      </c>
      <c r="P13" t="s">
        <v>2</v>
      </c>
      <c r="S13" s="26"/>
      <c r="T13" s="26"/>
    </row>
    <row r="14" spans="2:21">
      <c r="B14" s="18">
        <v>2.7123287600000001</v>
      </c>
      <c r="C14" s="26">
        <f t="shared" si="0"/>
        <v>1.0950000028757576</v>
      </c>
      <c r="D14" s="26">
        <v>2.97</v>
      </c>
      <c r="M14" t="s">
        <v>10</v>
      </c>
      <c r="N14" s="18">
        <f>($B$5+$R$10)/5</f>
        <v>2.5486879742222222</v>
      </c>
      <c r="O14" s="26">
        <f>($C$5*[1]Params!K8)</f>
        <v>1.1188524590163935</v>
      </c>
      <c r="P14" s="26">
        <f>(O14*N14)</f>
        <v>2.8516058072240438</v>
      </c>
      <c r="S14" s="26"/>
      <c r="T14" s="26"/>
    </row>
    <row r="15" spans="2:21">
      <c r="B15" s="18">
        <f>2.44/0.9</f>
        <v>2.7111111111111108</v>
      </c>
      <c r="C15" s="26">
        <v>0.84715200000000002</v>
      </c>
      <c r="D15" s="26">
        <f>B15*C15</f>
        <v>2.2967231999999997</v>
      </c>
      <c r="N15" s="18">
        <f>($B$5+$R$10)/5</f>
        <v>2.5486879742222222</v>
      </c>
      <c r="O15" s="26">
        <f>($C$5*[1]Params!K9)</f>
        <v>1.377049180327869</v>
      </c>
      <c r="P15" s="26">
        <f>(O15*N15)</f>
        <v>3.5096686858142081</v>
      </c>
      <c r="S15" s="26"/>
      <c r="T15" s="26"/>
    </row>
    <row r="16" spans="2:21">
      <c r="B16" s="18">
        <f>4.11968757-B15</f>
        <v>1.4085764588888892</v>
      </c>
      <c r="C16" s="26">
        <v>0.84715200000000002</v>
      </c>
      <c r="D16" s="26">
        <f>B16*C16</f>
        <v>1.1932783643006402</v>
      </c>
      <c r="N16" s="18">
        <f>($B$5+$R$10)/5</f>
        <v>2.5486879742222222</v>
      </c>
      <c r="O16" s="26">
        <f>($C$5*[1]Params!K10)</f>
        <v>1.8934426229508199</v>
      </c>
      <c r="P16" s="26">
        <f>(O16*N16)</f>
        <v>4.8257944429945363</v>
      </c>
      <c r="S16" s="26"/>
      <c r="T16" s="26"/>
    </row>
    <row r="17" spans="2:20">
      <c r="B17" s="18"/>
      <c r="F17" t="s">
        <v>12</v>
      </c>
      <c r="G17" s="26">
        <f>(D18/B18)</f>
        <v>0.86712944399071701</v>
      </c>
      <c r="N17" s="18">
        <f>($B$5+$R$10)/5</f>
        <v>2.5486879742222222</v>
      </c>
      <c r="O17" s="26">
        <f>($C$5*[1]Params!K11)</f>
        <v>4.3032786885245908</v>
      </c>
      <c r="P17" s="26">
        <f>(O17*N17)</f>
        <v>10.967714643169399</v>
      </c>
      <c r="R17">
        <f>(SUM(R5:R12))</f>
        <v>64.311430329999993</v>
      </c>
      <c r="S17" s="26"/>
      <c r="T17" s="26">
        <f>(SUM(T5:T12))</f>
        <v>55.766334824300642</v>
      </c>
    </row>
    <row r="18" spans="2:20">
      <c r="B18" s="18">
        <f>(SUM(B5:B17))</f>
        <v>64.311430330000007</v>
      </c>
      <c r="D18" s="26">
        <f>(SUM(D5:D17))</f>
        <v>55.766334824300642</v>
      </c>
      <c r="O18" s="26"/>
      <c r="P18" s="26"/>
    </row>
    <row r="19" spans="2:20">
      <c r="O19" s="26"/>
      <c r="P19" s="26"/>
    </row>
    <row r="20" spans="2:20">
      <c r="O20" s="26"/>
      <c r="P20" s="26">
        <f>(SUM(P14:P17))</f>
        <v>22.154783579202189</v>
      </c>
    </row>
    <row r="27" spans="2:20">
      <c r="H27" s="27"/>
    </row>
  </sheetData>
  <conditionalFormatting sqref="C5 C7:C8 C13:C16 O6:O9 O14:O17 S5 S7">
    <cfRule type="cellIs" dxfId="115" priority="25" operator="lessThan">
      <formula>$J$3</formula>
    </cfRule>
    <cfRule type="cellIs" dxfId="114" priority="26" operator="greaterThan">
      <formula>$J$3</formula>
    </cfRule>
  </conditionalFormatting>
  <conditionalFormatting sqref="S8">
    <cfRule type="cellIs" dxfId="113" priority="3" operator="lessThan">
      <formula>$J$3</formula>
    </cfRule>
    <cfRule type="cellIs" dxfId="112" priority="4" operator="greaterThan">
      <formula>$J$3</formula>
    </cfRule>
  </conditionalFormatting>
  <conditionalFormatting sqref="G17">
    <cfRule type="cellIs" dxfId="111" priority="1" operator="lessThan">
      <formula>$J$3</formula>
    </cfRule>
    <cfRule type="cellIs" dxfId="110" priority="2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S41" sqref="S41"/>
    </sheetView>
  </sheetViews>
  <sheetFormatPr baseColWidth="10" defaultColWidth="9.140625" defaultRowHeight="15"/>
  <cols>
    <col min="1" max="3" width="9.140625" style="25" customWidth="1"/>
    <col min="4" max="4" width="10.28515625" style="25" bestFit="1" customWidth="1"/>
    <col min="5" max="8" width="9.140625" style="25" customWidth="1"/>
    <col min="9" max="9" width="12.42578125" style="25" bestFit="1" customWidth="1"/>
    <col min="10" max="13" width="9.140625" style="25" customWidth="1"/>
    <col min="14" max="14" width="10.140625" style="25" bestFit="1" customWidth="1"/>
    <col min="15" max="15" width="11.28515625" style="25" bestFit="1" customWidth="1"/>
    <col min="16" max="372" width="9.140625" style="25" customWidth="1"/>
    <col min="373" max="16384" width="9.140625" style="25"/>
  </cols>
  <sheetData>
    <row r="3" spans="2:16">
      <c r="I3" t="s">
        <v>3</v>
      </c>
      <c r="J3" s="47">
        <v>2.7993935700412469E-2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(B10*J3)</f>
        <v>1.8145017335403055</v>
      </c>
      <c r="K4" s="4">
        <f>(J4/D10-1)</f>
        <v>-9.2749133229847236E-2</v>
      </c>
    </row>
    <row r="5" spans="2:16">
      <c r="B5" s="37">
        <v>64.74873341</v>
      </c>
      <c r="C5" s="47">
        <f>(D5/B5)</f>
        <v>3.0888635107897165E-2</v>
      </c>
      <c r="D5" s="26">
        <v>2</v>
      </c>
      <c r="M5" t="s">
        <v>80</v>
      </c>
      <c r="N5" t="s">
        <v>30</v>
      </c>
      <c r="O5" t="s">
        <v>1</v>
      </c>
      <c r="P5" t="s">
        <v>2</v>
      </c>
    </row>
    <row r="6" spans="2:16">
      <c r="B6" s="49">
        <v>6.8938280000000005E-2</v>
      </c>
      <c r="C6" s="29">
        <v>0</v>
      </c>
      <c r="D6" s="30">
        <f>(B6*C6)</f>
        <v>0</v>
      </c>
      <c r="E6" s="26">
        <f>(B6*J3)</f>
        <v>1.9298537776170309E-3</v>
      </c>
      <c r="M6" t="s">
        <v>10</v>
      </c>
      <c r="N6" s="37">
        <f>($B$10/5)</f>
        <v>12.963534337999999</v>
      </c>
      <c r="O6" s="47">
        <f>($C$5*[1]Params!K8)</f>
        <v>4.0155225640266315E-2</v>
      </c>
      <c r="P6" s="26">
        <f>(O6*N6)</f>
        <v>0.52055364643773039</v>
      </c>
    </row>
    <row r="7" spans="2:16">
      <c r="B7" s="37"/>
      <c r="C7" s="26"/>
      <c r="D7" s="28"/>
      <c r="E7" s="26"/>
      <c r="N7" s="37">
        <f>($B$10/5)</f>
        <v>12.963534337999999</v>
      </c>
      <c r="O7" s="47">
        <f>($C$5*[1]Params!K9)</f>
        <v>4.9421816172635469E-2</v>
      </c>
      <c r="P7" s="26">
        <f>(O7*N7)</f>
        <v>0.64068141100028353</v>
      </c>
    </row>
    <row r="8" spans="2:16">
      <c r="N8" s="37">
        <f>($B$10/5)</f>
        <v>12.963534337999999</v>
      </c>
      <c r="O8" s="47">
        <f>($C$5*[1]Params!K10)</f>
        <v>6.7954997237373763E-2</v>
      </c>
      <c r="P8" s="26">
        <f>(O8*N8)</f>
        <v>0.88093694012538981</v>
      </c>
    </row>
    <row r="9" spans="2:16">
      <c r="F9" t="s">
        <v>12</v>
      </c>
      <c r="G9" s="26">
        <f>(D10/B10)</f>
        <v>3.0855782811287834E-2</v>
      </c>
      <c r="N9" s="37">
        <f>($B$10/5)</f>
        <v>12.963534337999999</v>
      </c>
      <c r="O9" s="47">
        <f>($C$5*[1]Params!K11)</f>
        <v>0.15444317553948583</v>
      </c>
      <c r="P9" s="26">
        <f>(O9*N9)</f>
        <v>2.0021294093758861</v>
      </c>
    </row>
    <row r="10" spans="2:16">
      <c r="B10" s="37">
        <f>(SUM(B5:B9))</f>
        <v>64.817671689999997</v>
      </c>
      <c r="D10" s="26">
        <f>(SUM(D5:D9))</f>
        <v>2</v>
      </c>
    </row>
    <row r="11" spans="2:16">
      <c r="P11" s="26">
        <f>(SUM(P6:P9))</f>
        <v>4.0443014069392902</v>
      </c>
    </row>
    <row r="22" spans="10:10">
      <c r="J22" s="23"/>
    </row>
  </sheetData>
  <conditionalFormatting sqref="C5">
    <cfRule type="cellIs" dxfId="109" priority="11" operator="lessThan">
      <formula>$J$3</formula>
    </cfRule>
    <cfRule type="cellIs" dxfId="108" priority="12" operator="greaterThan">
      <formula>$J$3</formula>
    </cfRule>
    <cfRule type="cellIs" dxfId="107" priority="5" operator="lessThan">
      <formula>$J$3</formula>
    </cfRule>
    <cfRule type="cellIs" dxfId="106" priority="6" operator="greaterThan">
      <formula>$J$3</formula>
    </cfRule>
  </conditionalFormatting>
  <conditionalFormatting sqref="O6:O9">
    <cfRule type="cellIs" dxfId="105" priority="9" operator="lessThan">
      <formula>$J$3</formula>
    </cfRule>
    <cfRule type="cellIs" dxfId="104" priority="10" operator="greaterThan">
      <formula>$J$3</formula>
    </cfRule>
    <cfRule type="cellIs" dxfId="103" priority="3" operator="lessThan">
      <formula>$J$3</formula>
    </cfRule>
    <cfRule type="cellIs" dxfId="102" priority="4" operator="greaterThan">
      <formula>$J$3</formula>
    </cfRule>
  </conditionalFormatting>
  <conditionalFormatting sqref="G9">
    <cfRule type="cellIs" dxfId="101" priority="7" operator="lessThan">
      <formula>$J$3</formula>
    </cfRule>
    <cfRule type="cellIs" dxfId="100" priority="8" operator="greaterThan">
      <formula>$J$3</formula>
    </cfRule>
    <cfRule type="cellIs" dxfId="99" priority="1" operator="lessThan">
      <formula>$J$3</formula>
    </cfRule>
    <cfRule type="cellIs" dxfId="98" priority="2" operator="greaterThan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B2:V30"/>
  <sheetViews>
    <sheetView workbookViewId="0">
      <selection activeCell="O28" sqref="O28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18" max="22" width="9.140625" style="25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47">
        <v>1.2833529041701881</v>
      </c>
      <c r="M3" t="s">
        <v>4</v>
      </c>
      <c r="N3" s="23">
        <f>(INDEX(N5:N33,MATCH(MAX(O6:O7),O5:O33,0))/0.85)</f>
        <v>12.929411764705883</v>
      </c>
      <c r="O3" s="27">
        <f>(MAX(O6:O7)*0.75)</f>
        <v>0.92512274385805271</v>
      </c>
      <c r="P3" s="26">
        <f>(O3*N3)</f>
        <v>11.961292888235294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6">
        <f>(B13*J3)</f>
        <v>44.918222375235004</v>
      </c>
      <c r="K4" s="4">
        <f>(J4/D13-1)</f>
        <v>2.9894138486254529</v>
      </c>
      <c r="R4" t="s">
        <v>5</v>
      </c>
      <c r="S4" t="s">
        <v>6</v>
      </c>
      <c r="T4" t="s">
        <v>7</v>
      </c>
    </row>
    <row r="5" spans="2:22">
      <c r="B5" s="37">
        <v>52.247700000000002</v>
      </c>
      <c r="C5" s="26">
        <f>(D5/B5)</f>
        <v>0.7577367041994193</v>
      </c>
      <c r="D5" s="26">
        <v>39.590000000000003</v>
      </c>
      <c r="N5" t="s">
        <v>30</v>
      </c>
      <c r="O5" t="s">
        <v>1</v>
      </c>
      <c r="P5" t="s">
        <v>2</v>
      </c>
      <c r="R5" s="37">
        <f>(B5)</f>
        <v>52.247700000000002</v>
      </c>
      <c r="S5" s="26">
        <f>(T5/R5)</f>
        <v>0.7577367041994193</v>
      </c>
      <c r="T5" s="26">
        <f>(D5)</f>
        <v>39.590000000000003</v>
      </c>
    </row>
    <row r="6" spans="2:22">
      <c r="B6" s="49">
        <v>0.35197847999999998</v>
      </c>
      <c r="C6" s="29">
        <v>0</v>
      </c>
      <c r="D6" s="30">
        <f>(B6*C6)</f>
        <v>0</v>
      </c>
      <c r="E6" s="26">
        <f>(B6*J3)</f>
        <v>0.45171260451340844</v>
      </c>
      <c r="M6" t="s">
        <v>10</v>
      </c>
      <c r="N6" s="37">
        <f>-B8</f>
        <v>10.99</v>
      </c>
      <c r="O6" s="26">
        <f>($C$5*[1]Params!K8)</f>
        <v>0.98505771545924514</v>
      </c>
      <c r="P6" s="26">
        <f>-D8</f>
        <v>12.416017180000001</v>
      </c>
      <c r="Q6" t="s">
        <v>11</v>
      </c>
      <c r="R6" s="49">
        <v>0.33622554999999998</v>
      </c>
      <c r="S6" s="29">
        <v>0</v>
      </c>
      <c r="T6" s="30">
        <f>(R6*S6)</f>
        <v>0</v>
      </c>
      <c r="U6" s="26">
        <f>(E6)</f>
        <v>0.45171260451340844</v>
      </c>
    </row>
    <row r="7" spans="2:22">
      <c r="B7" s="37">
        <v>2.3809999999999998</v>
      </c>
      <c r="C7" s="26">
        <v>0</v>
      </c>
      <c r="D7" s="28">
        <f>(B7*C7)</f>
        <v>0</v>
      </c>
      <c r="E7" s="26">
        <f>(B7*J3)</f>
        <v>3.0556632648292177</v>
      </c>
      <c r="N7" s="37">
        <f>-B9</f>
        <v>10.99</v>
      </c>
      <c r="O7" s="26">
        <f>P7/N7</f>
        <v>1.233496991810737</v>
      </c>
      <c r="P7" s="26">
        <f>-D9</f>
        <v>13.55613194</v>
      </c>
      <c r="Q7" t="s">
        <v>11</v>
      </c>
      <c r="R7" s="37">
        <f>(B7)</f>
        <v>2.3809999999999998</v>
      </c>
      <c r="S7" s="26">
        <v>0</v>
      </c>
      <c r="T7" s="28">
        <f>(D7)</f>
        <v>0</v>
      </c>
    </row>
    <row r="8" spans="2:22">
      <c r="B8" s="37">
        <v>-10.99</v>
      </c>
      <c r="C8" s="27">
        <f>D8/B8</f>
        <v>1.1297558853503185</v>
      </c>
      <c r="D8" s="26">
        <f>-12.41601718</f>
        <v>-12.416017180000001</v>
      </c>
      <c r="N8" s="37">
        <f>3*($B$13+$N$7+$N$6)/5-N7-N6</f>
        <v>12.208407088000003</v>
      </c>
      <c r="O8" s="26">
        <f>($C$5*[1]Params!K10)</f>
        <v>1.6670207492387226</v>
      </c>
      <c r="P8" s="26">
        <f>N8*O8</f>
        <v>20.351667930849096</v>
      </c>
      <c r="R8" s="37">
        <f>B8</f>
        <v>-10.99</v>
      </c>
      <c r="S8" s="26">
        <f>T8/R8</f>
        <v>1.1297558853503185</v>
      </c>
      <c r="T8" s="26">
        <f>D8</f>
        <v>-12.416017180000001</v>
      </c>
      <c r="V8" s="27"/>
    </row>
    <row r="9" spans="2:22">
      <c r="B9" s="37">
        <v>-10.99</v>
      </c>
      <c r="C9" s="27">
        <f>D9/B9</f>
        <v>1.233496991810737</v>
      </c>
      <c r="D9" s="26">
        <v>-13.55613194</v>
      </c>
      <c r="N9" s="37">
        <f>($B$13+$N$7+$N$6)/5</f>
        <v>11.396135696</v>
      </c>
      <c r="O9" s="26">
        <f>($C$5*[1]Params!K11)</f>
        <v>3.7886835209970964</v>
      </c>
      <c r="P9" s="26">
        <f>(O9*N9)</f>
        <v>43.176351514481972</v>
      </c>
      <c r="R9" s="37">
        <f>B9</f>
        <v>-10.99</v>
      </c>
      <c r="S9" s="26">
        <f>T9/R9</f>
        <v>1.233496991810737</v>
      </c>
      <c r="T9" s="26">
        <f>D9</f>
        <v>-13.55613194</v>
      </c>
      <c r="U9" s="26"/>
      <c r="V9" s="27"/>
    </row>
    <row r="10" spans="2:22">
      <c r="B10" s="37">
        <v>-11</v>
      </c>
      <c r="C10" s="27">
        <f>D10/B10</f>
        <v>1.6782878045454546</v>
      </c>
      <c r="D10" s="26">
        <f>-18.46116585</f>
        <v>-18.46116585</v>
      </c>
      <c r="R10" s="37">
        <f>B10+B11</f>
        <v>2</v>
      </c>
      <c r="S10" s="26">
        <v>0</v>
      </c>
      <c r="T10" s="26">
        <f>D10+D11</f>
        <v>-2.3584969800000017</v>
      </c>
      <c r="U10" s="26">
        <f>-T10+R10*J3</f>
        <v>4.9252027883403784</v>
      </c>
      <c r="V10" s="27"/>
    </row>
    <row r="11" spans="2:22">
      <c r="B11" s="37">
        <v>13</v>
      </c>
      <c r="C11" s="26">
        <f>(D11/B11)</f>
        <v>1.238666836153846</v>
      </c>
      <c r="D11" s="26">
        <v>16.102668869999999</v>
      </c>
      <c r="F11" t="s">
        <v>12</v>
      </c>
      <c r="G11" s="26">
        <f>(D13/B13)</f>
        <v>0.32168958971563344</v>
      </c>
      <c r="P11" s="26">
        <f>(SUM(P6:P9))</f>
        <v>89.50016856533108</v>
      </c>
      <c r="R11" s="1"/>
      <c r="S11" s="26"/>
      <c r="T11" s="26"/>
      <c r="V11" s="27"/>
    </row>
    <row r="12" spans="2:22">
      <c r="G12" s="26"/>
      <c r="P12" s="26"/>
      <c r="R12" s="1"/>
      <c r="S12" s="26"/>
      <c r="T12" s="26"/>
      <c r="V12" s="27"/>
    </row>
    <row r="13" spans="2:22">
      <c r="B13" s="37">
        <f>(SUM(B5:B11))</f>
        <v>35.000678479999998</v>
      </c>
      <c r="D13" s="26">
        <f>(SUM(D5:D11))</f>
        <v>11.259353900000001</v>
      </c>
      <c r="R13" s="1"/>
      <c r="S13" s="26"/>
      <c r="T13" s="26"/>
    </row>
    <row r="14" spans="2:22">
      <c r="R14" s="1"/>
      <c r="S14" s="26"/>
      <c r="T14" s="27"/>
    </row>
    <row r="15" spans="2:22">
      <c r="R15" s="1"/>
      <c r="S15" s="26"/>
      <c r="T15" s="26"/>
    </row>
    <row r="16" spans="2:22">
      <c r="R16" s="1"/>
      <c r="S16" s="26"/>
      <c r="T16" s="26"/>
    </row>
    <row r="17" spans="10:20">
      <c r="S17" s="26"/>
      <c r="T17" s="26"/>
    </row>
    <row r="18" spans="10:20">
      <c r="S18" s="26"/>
      <c r="T18" s="26"/>
    </row>
    <row r="19" spans="10:20">
      <c r="S19" s="26"/>
      <c r="T19" s="26"/>
    </row>
    <row r="20" spans="10:20">
      <c r="S20" s="26"/>
      <c r="T20" s="26"/>
    </row>
    <row r="21" spans="10:20">
      <c r="S21" s="26"/>
      <c r="T21" s="26"/>
    </row>
    <row r="22" spans="10:20">
      <c r="S22" s="26"/>
      <c r="T22" s="26"/>
    </row>
    <row r="23" spans="10:20">
      <c r="S23" s="26"/>
      <c r="T23" s="26"/>
    </row>
    <row r="24" spans="10:20">
      <c r="S24" s="26"/>
      <c r="T24" s="26"/>
    </row>
    <row r="25" spans="10:20">
      <c r="J25" s="23"/>
      <c r="S25" s="26"/>
      <c r="T25" s="26"/>
    </row>
    <row r="26" spans="10:20">
      <c r="S26" s="26"/>
      <c r="T26" s="26"/>
    </row>
    <row r="27" spans="10:20">
      <c r="S27" s="26"/>
      <c r="T27" s="26"/>
    </row>
    <row r="28" spans="10:20">
      <c r="S28" s="26"/>
      <c r="T28" s="26"/>
    </row>
    <row r="29" spans="10:20">
      <c r="S29" s="26"/>
      <c r="T29" s="26"/>
    </row>
    <row r="30" spans="10:20">
      <c r="R30" s="1">
        <f>(SUM(R5:R29))</f>
        <v>34.98492555</v>
      </c>
      <c r="S30" s="26"/>
      <c r="T30" s="26">
        <f>(SUM(T5:T29))</f>
        <v>11.259353900000001</v>
      </c>
    </row>
  </sheetData>
  <conditionalFormatting sqref="C5 G11 O8:O9 S5">
    <cfRule type="cellIs" dxfId="97" priority="11" operator="lessThan">
      <formula>$J$3</formula>
    </cfRule>
    <cfRule type="cellIs" dxfId="96" priority="12" operator="greaterThan">
      <formula>$J$3</formula>
    </cfRule>
  </conditionalFormatting>
  <conditionalFormatting sqref="O3">
    <cfRule type="cellIs" dxfId="95" priority="5" operator="greaterThan">
      <formula>$J$3</formula>
    </cfRule>
    <cfRule type="cellIs" dxfId="94" priority="6" operator="lessThan">
      <formula>$J$3</formula>
    </cfRule>
  </conditionalFormatting>
  <conditionalFormatting sqref="C11">
    <cfRule type="cellIs" dxfId="93" priority="1" operator="lessThan">
      <formula>$J$3</formula>
    </cfRule>
    <cfRule type="cellIs" dxfId="92" priority="2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2:V34"/>
  <sheetViews>
    <sheetView workbookViewId="0">
      <selection activeCell="B47" sqref="B47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6">
        <v>3.7510838561029631</v>
      </c>
      <c r="M3" t="s">
        <v>4</v>
      </c>
      <c r="N3" s="23">
        <f>(INDEX(N5:N33,MATCH(MAX(O6:O7,O14:O15),O5:O33,0))/0.85)</f>
        <v>5.329411764705883</v>
      </c>
      <c r="O3" s="27">
        <f>(MAX(O6:O7,O14:O15)*0.75)</f>
        <v>2.152735678807947</v>
      </c>
      <c r="P3" s="26">
        <f>(O3*N3)</f>
        <v>11.472814852941179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6">
        <f>(B27*J3)</f>
        <v>66.860817204644277</v>
      </c>
      <c r="K4" s="4">
        <f>(J4/D27-1)</f>
        <v>2.2588042412231157</v>
      </c>
      <c r="O4" s="26"/>
      <c r="P4" s="26"/>
      <c r="R4" t="s">
        <v>5</v>
      </c>
      <c r="S4" t="s">
        <v>6</v>
      </c>
      <c r="T4" t="s">
        <v>7</v>
      </c>
    </row>
    <row r="5" spans="2:22">
      <c r="B5" s="1">
        <v>1.79</v>
      </c>
      <c r="C5" s="26">
        <f>(D5/B5)</f>
        <v>1.6759776536312849</v>
      </c>
      <c r="D5" s="26">
        <v>3</v>
      </c>
      <c r="E5" t="s">
        <v>78</v>
      </c>
      <c r="M5" t="s">
        <v>78</v>
      </c>
      <c r="N5" t="s">
        <v>30</v>
      </c>
      <c r="O5" t="s">
        <v>1</v>
      </c>
      <c r="P5" t="s">
        <v>2</v>
      </c>
      <c r="R5" s="1">
        <f>(B5)</f>
        <v>1.79</v>
      </c>
      <c r="S5" s="26">
        <f>(T5/R5)</f>
        <v>1.6759776536312849</v>
      </c>
      <c r="T5" s="26">
        <f>(D5)</f>
        <v>3</v>
      </c>
    </row>
    <row r="6" spans="2:22">
      <c r="B6" s="1">
        <v>24.31672584</v>
      </c>
      <c r="C6" s="26">
        <f>(D6/B6)</f>
        <v>1.8711400662812259</v>
      </c>
      <c r="D6" s="26">
        <v>45.5</v>
      </c>
      <c r="E6" t="s">
        <v>15</v>
      </c>
      <c r="M6" t="s">
        <v>10</v>
      </c>
      <c r="N6" s="1">
        <f>-B18</f>
        <v>0.37769784172661802</v>
      </c>
      <c r="O6" s="26">
        <f>P6/N6</f>
        <v>2.1765811428571467</v>
      </c>
      <c r="P6" s="26">
        <f>-D18</f>
        <v>0.82208999999999999</v>
      </c>
      <c r="Q6" t="s">
        <v>11</v>
      </c>
      <c r="R6" s="1">
        <f>B6+B19+B21</f>
        <v>15.486725839999998</v>
      </c>
      <c r="S6" s="26">
        <f>(T6/R6)</f>
        <v>1.9366098625272754</v>
      </c>
      <c r="T6" s="26">
        <f>D6+B19*1.74+B21*1.7718</f>
        <v>29.991745999999999</v>
      </c>
      <c r="U6" s="26" t="str">
        <f>(E6)</f>
        <v>DCA2</v>
      </c>
    </row>
    <row r="7" spans="2:22">
      <c r="B7" s="2">
        <v>0.10337747999999999</v>
      </c>
      <c r="C7" s="29">
        <v>0</v>
      </c>
      <c r="D7" s="30">
        <v>0</v>
      </c>
      <c r="E7" s="27">
        <f>B7*J3</f>
        <v>0.38777759631260694</v>
      </c>
      <c r="N7" s="1">
        <f>-B20</f>
        <v>0.37687523000000001</v>
      </c>
      <c r="O7" s="26">
        <f>($C$5*[1]Params!K9)</f>
        <v>2.6815642458100561</v>
      </c>
      <c r="P7" s="26">
        <f>(O7*N7)</f>
        <v>1.0106151418994416</v>
      </c>
      <c r="Q7" t="s">
        <v>11</v>
      </c>
      <c r="R7" s="2">
        <f>(B7)</f>
        <v>0.10337747999999999</v>
      </c>
      <c r="S7" s="29">
        <v>0</v>
      </c>
      <c r="T7" s="30">
        <f>(D7)</f>
        <v>0</v>
      </c>
    </row>
    <row r="8" spans="2:22">
      <c r="B8" s="1">
        <v>-0.6</v>
      </c>
      <c r="C8" s="26">
        <f t="shared" ref="C8:C20" si="0">(D8/B8)</f>
        <v>1.9313681166666667</v>
      </c>
      <c r="D8" s="26">
        <v>-1.15882087</v>
      </c>
      <c r="N8" s="1">
        <f>(($B$5+$R$9)/5)</f>
        <v>0.39575079610350461</v>
      </c>
      <c r="O8" s="26">
        <f>($C$5*[1]Params!K10)</f>
        <v>3.6871508379888271</v>
      </c>
      <c r="P8" s="26">
        <f>(O8*N8)</f>
        <v>1.4591928794877824</v>
      </c>
      <c r="R8" s="1">
        <f>B10+B13+B8+B17+B23+B24</f>
        <v>1.01011527</v>
      </c>
      <c r="S8" s="26">
        <v>0</v>
      </c>
      <c r="T8" s="26">
        <f>(D10+D13+D8+D17+D23+D24)</f>
        <v>-2.6644444199999988</v>
      </c>
      <c r="U8" t="s">
        <v>82</v>
      </c>
      <c r="V8" s="27">
        <f>-T8+R8*$J$3</f>
        <v>6.4534715021000846</v>
      </c>
    </row>
    <row r="9" spans="2:22">
      <c r="B9" s="1">
        <v>-0.35799999999999998</v>
      </c>
      <c r="C9" s="26">
        <f t="shared" si="0"/>
        <v>2.1201117318435756</v>
      </c>
      <c r="D9" s="26">
        <f>(-0.764+0.005)</f>
        <v>-0.75900000000000001</v>
      </c>
      <c r="N9" s="1">
        <f>(($B$5+$R$9)/5)</f>
        <v>0.39575079610350461</v>
      </c>
      <c r="O9" s="26">
        <f>($C$5*[1]Params!K11)</f>
        <v>8.3798882681564244</v>
      </c>
      <c r="P9" s="26">
        <f>(O9*N9)</f>
        <v>3.3163474533813235</v>
      </c>
      <c r="R9" s="1">
        <f>(B12+B11+B9+B14+B15+B16+B22+B25)</f>
        <v>0.18875398051752301</v>
      </c>
      <c r="S9" s="26">
        <v>0</v>
      </c>
      <c r="T9" s="26">
        <f>(D12+D11+D9+D14)+D15+D16+D22+D25</f>
        <v>-0.32716100000000004</v>
      </c>
      <c r="U9" t="s">
        <v>84</v>
      </c>
      <c r="V9" s="27">
        <f>-T9+R9*$J$3</f>
        <v>1.0351930090944539</v>
      </c>
    </row>
    <row r="10" spans="2:22">
      <c r="B10" s="1">
        <v>-0.6</v>
      </c>
      <c r="C10" s="26">
        <f t="shared" si="0"/>
        <v>2.2549999999999999</v>
      </c>
      <c r="D10" s="26">
        <v>-1.353</v>
      </c>
      <c r="N10" s="1"/>
      <c r="O10" s="26"/>
      <c r="P10" s="26"/>
      <c r="R10" s="1">
        <f>B18</f>
        <v>-0.37769784172661802</v>
      </c>
      <c r="S10" s="26">
        <f>T10/R10</f>
        <v>2.1765811428571467</v>
      </c>
      <c r="T10" s="26">
        <f>D18</f>
        <v>-0.82208999999999999</v>
      </c>
      <c r="U10" t="s">
        <v>85</v>
      </c>
    </row>
    <row r="11" spans="2:22">
      <c r="B11" s="1">
        <v>-0.35742035742035699</v>
      </c>
      <c r="C11" s="26">
        <f t="shared" si="0"/>
        <v>2.5063737456521769</v>
      </c>
      <c r="D11" s="26">
        <v>-0.89582899999999999</v>
      </c>
      <c r="N11" s="1"/>
      <c r="O11" s="26"/>
      <c r="P11" s="26">
        <f>(SUM(P6:P9))</f>
        <v>6.6082454747685482</v>
      </c>
      <c r="R11" s="1">
        <f>B19-B19</f>
        <v>0</v>
      </c>
      <c r="S11" s="26">
        <v>0</v>
      </c>
      <c r="T11" s="27">
        <f>D19-B19*1.74</f>
        <v>-2.6761413800000007</v>
      </c>
    </row>
    <row r="12" spans="2:22">
      <c r="B12" s="1">
        <v>0.38853337131153298</v>
      </c>
      <c r="C12" s="26">
        <f t="shared" si="0"/>
        <v>2.1872767251145362</v>
      </c>
      <c r="D12" s="26">
        <v>0.84982999999999997</v>
      </c>
      <c r="N12" s="1"/>
      <c r="O12" s="26"/>
      <c r="P12" s="26"/>
      <c r="R12" s="1">
        <f>B20</f>
        <v>-0.37687523000000001</v>
      </c>
      <c r="S12" s="26">
        <f>T12/R12</f>
        <v>2.6763791295066008</v>
      </c>
      <c r="T12" s="26">
        <f>D20</f>
        <v>-1.008661</v>
      </c>
    </row>
    <row r="13" spans="2:22">
      <c r="B13" s="1">
        <v>0.66773927</v>
      </c>
      <c r="C13" s="26">
        <f t="shared" si="0"/>
        <v>1.9124230929236794</v>
      </c>
      <c r="D13" s="26">
        <v>1.2769999999999999</v>
      </c>
      <c r="M13" t="s">
        <v>15</v>
      </c>
      <c r="N13" t="s">
        <v>30</v>
      </c>
      <c r="O13" t="s">
        <v>1</v>
      </c>
      <c r="P13" t="s">
        <v>2</v>
      </c>
      <c r="R13" s="1">
        <f>B21-B21</f>
        <v>0</v>
      </c>
      <c r="S13" s="26">
        <v>0</v>
      </c>
      <c r="T13" s="26">
        <f>D21-B21*1.7718</f>
        <v>-4.9762695000000008</v>
      </c>
    </row>
    <row r="14" spans="2:22">
      <c r="B14" s="1">
        <v>0.39380211586237701</v>
      </c>
      <c r="C14" s="26">
        <f t="shared" si="0"/>
        <v>1.7677837978993687</v>
      </c>
      <c r="D14" s="26">
        <v>0.69615700000000003</v>
      </c>
      <c r="M14" t="s">
        <v>10</v>
      </c>
      <c r="N14" s="1">
        <f>-B19</f>
        <v>4.3</v>
      </c>
      <c r="O14" s="26">
        <f>P14/N14</f>
        <v>2.3623584604651162</v>
      </c>
      <c r="P14" s="26">
        <f>-D19</f>
        <v>10.15814138</v>
      </c>
      <c r="Q14" t="s">
        <v>11</v>
      </c>
      <c r="R14" s="1"/>
      <c r="S14" s="26"/>
      <c r="T14" s="26"/>
    </row>
    <row r="15" spans="2:22">
      <c r="B15" s="1">
        <v>-0.36489607390300199</v>
      </c>
      <c r="C15" s="26">
        <f t="shared" si="0"/>
        <v>2.1019875379746855</v>
      </c>
      <c r="D15" s="26">
        <v>-0.76700699999999999</v>
      </c>
      <c r="N15" s="1">
        <f>-B21</f>
        <v>4.53</v>
      </c>
      <c r="O15" s="26">
        <f>P15/N15</f>
        <v>2.8703142384105962</v>
      </c>
      <c r="P15" s="26">
        <f>-D21</f>
        <v>13.002523500000001</v>
      </c>
      <c r="Q15" t="s">
        <v>11</v>
      </c>
      <c r="R15" s="1"/>
      <c r="S15" s="26"/>
      <c r="T15" s="26"/>
      <c r="U15" s="27"/>
    </row>
    <row r="16" spans="2:22">
      <c r="B16" s="1">
        <v>0.41928685653543302</v>
      </c>
      <c r="C16" s="26">
        <f t="shared" si="0"/>
        <v>1.6927408740274241</v>
      </c>
      <c r="D16" s="26">
        <v>0.70974400000000004</v>
      </c>
      <c r="N16" s="1">
        <f>3*(($B$6+$R$8+$R$7)/5)-$N$15-$N$14</f>
        <v>6.4281311539999999</v>
      </c>
      <c r="O16" s="26">
        <f>($S$6*[1]Params!K10)</f>
        <v>4.2605416975600061</v>
      </c>
      <c r="P16" s="26">
        <f>(O16*N16)</f>
        <v>27.38732081900152</v>
      </c>
      <c r="S16" s="26"/>
      <c r="T16" s="26"/>
    </row>
    <row r="17" spans="2:20">
      <c r="B17" s="1">
        <v>0.668076</v>
      </c>
      <c r="C17" s="26">
        <f t="shared" si="0"/>
        <v>1.6465192582879793</v>
      </c>
      <c r="D17" s="26">
        <v>1.1000000000000001</v>
      </c>
      <c r="N17" s="1">
        <f>3*(($B$6+$R$8+$R$7)/5)-$N$15-$N$14</f>
        <v>6.4281311539999999</v>
      </c>
      <c r="O17" s="26">
        <f>($S$6*[1]Params!K11)</f>
        <v>9.6830493126363777</v>
      </c>
      <c r="P17" s="26">
        <f>(O17*N17)</f>
        <v>62.243910952276181</v>
      </c>
      <c r="S17" s="26"/>
      <c r="T17" s="26"/>
    </row>
    <row r="18" spans="2:20">
      <c r="B18" s="1">
        <v>-0.37769784172661802</v>
      </c>
      <c r="C18" s="26">
        <f t="shared" si="0"/>
        <v>2.1765811428571467</v>
      </c>
      <c r="D18" s="26">
        <v>-0.82208999999999999</v>
      </c>
      <c r="E18" t="str">
        <f>U10</f>
        <v>Learn 1/5</v>
      </c>
      <c r="N18" s="1"/>
      <c r="O18" s="26"/>
      <c r="P18" s="26"/>
      <c r="S18" s="26"/>
      <c r="T18" s="26"/>
    </row>
    <row r="19" spans="2:20">
      <c r="B19" s="1">
        <v>-4.3</v>
      </c>
      <c r="C19" s="26">
        <f t="shared" si="0"/>
        <v>2.3623584604651162</v>
      </c>
      <c r="D19" s="26">
        <v>-10.15814138</v>
      </c>
      <c r="O19" s="26"/>
      <c r="P19" s="26">
        <f>(SUM(P14:P17))</f>
        <v>112.7918966512777</v>
      </c>
      <c r="S19" s="26"/>
      <c r="T19" s="26"/>
    </row>
    <row r="20" spans="2:20">
      <c r="B20" s="1">
        <v>-0.37687523000000001</v>
      </c>
      <c r="C20" s="26">
        <f t="shared" si="0"/>
        <v>2.6763791295066008</v>
      </c>
      <c r="D20" s="26">
        <f>-1.008661</f>
        <v>-1.008661</v>
      </c>
      <c r="O20" s="26"/>
      <c r="P20" s="26"/>
      <c r="S20" s="26"/>
      <c r="T20" s="26"/>
    </row>
    <row r="21" spans="2:20">
      <c r="B21" s="1">
        <v>-4.53</v>
      </c>
      <c r="C21" s="26">
        <f>D21/B21</f>
        <v>2.8703142384105962</v>
      </c>
      <c r="D21" s="26">
        <v>-13.002523500000001</v>
      </c>
      <c r="O21" s="26"/>
      <c r="P21" s="26"/>
      <c r="S21" s="26"/>
      <c r="T21" s="26"/>
    </row>
    <row r="22" spans="2:20">
      <c r="B22" s="1">
        <v>-0.37933818000000002</v>
      </c>
      <c r="C22" s="26">
        <f>D22/B22</f>
        <v>3.640698650475942</v>
      </c>
      <c r="D22" s="26">
        <v>-1.3810560000000001</v>
      </c>
      <c r="O22" s="26"/>
      <c r="P22" s="26"/>
      <c r="S22" s="26"/>
      <c r="T22" s="26"/>
    </row>
    <row r="23" spans="2:20">
      <c r="B23" s="1">
        <v>-4.82</v>
      </c>
      <c r="C23" s="26">
        <f>D23/B23</f>
        <v>3.9294447199170119</v>
      </c>
      <c r="D23" s="26">
        <f>-18.93992355</f>
        <v>-18.93992355</v>
      </c>
      <c r="O23" s="26"/>
      <c r="P23" s="26"/>
      <c r="S23" s="26"/>
      <c r="T23" s="26"/>
    </row>
    <row r="24" spans="2:20">
      <c r="B24" s="1">
        <f>5.7*0.999</f>
        <v>5.6943000000000001</v>
      </c>
      <c r="C24" s="26">
        <f>(D24/B24)</f>
        <v>2.8818818818818817</v>
      </c>
      <c r="D24" s="26">
        <v>16.410299999999999</v>
      </c>
      <c r="O24" s="26"/>
      <c r="P24" s="26"/>
      <c r="S24" s="26"/>
      <c r="T24" s="26"/>
    </row>
    <row r="25" spans="2:20">
      <c r="B25" s="1">
        <v>0.446786248131539</v>
      </c>
      <c r="C25" s="26">
        <f>(D25/B25)</f>
        <v>2.7306122448979631</v>
      </c>
      <c r="D25" s="26">
        <v>1.22</v>
      </c>
      <c r="O25" s="26"/>
      <c r="P25" s="26"/>
      <c r="S25" s="26"/>
      <c r="T25" s="26"/>
    </row>
    <row r="26" spans="2:20">
      <c r="C26" s="26"/>
      <c r="D26" s="26"/>
      <c r="F26" t="s">
        <v>12</v>
      </c>
      <c r="G26" s="26">
        <f>(D27/B27)</f>
        <v>1.1510614257378902</v>
      </c>
      <c r="S26" s="26"/>
      <c r="T26" s="26"/>
    </row>
    <row r="27" spans="2:20">
      <c r="B27" s="1">
        <f>(SUM(B5:B26))</f>
        <v>17.824399498790896</v>
      </c>
      <c r="C27" s="26"/>
      <c r="D27" s="26">
        <f>(SUM(D5:D26))</f>
        <v>20.516978699999985</v>
      </c>
      <c r="S27" s="26"/>
      <c r="T27" s="26"/>
    </row>
    <row r="28" spans="2:20">
      <c r="S28" s="26"/>
      <c r="T28" s="26"/>
    </row>
    <row r="29" spans="2:20">
      <c r="S29" s="26"/>
      <c r="T29" s="26"/>
    </row>
    <row r="30" spans="2:20">
      <c r="R30" s="1">
        <f>(SUM(R5:R29))</f>
        <v>17.8243994987909</v>
      </c>
      <c r="S30" s="26"/>
      <c r="T30" s="26">
        <f>(SUM(T5:T29))</f>
        <v>20.516978699999999</v>
      </c>
    </row>
    <row r="34" spans="11:11">
      <c r="K34" s="27"/>
    </row>
  </sheetData>
  <conditionalFormatting sqref="C5:C6 C12:C14 C16:C17 O8:O9 O16:O17 S5:S6">
    <cfRule type="cellIs" dxfId="91" priority="23" operator="lessThan">
      <formula>$J$3</formula>
    </cfRule>
    <cfRule type="cellIs" dxfId="90" priority="24" operator="greaterThan">
      <formula>$J$3</formula>
    </cfRule>
  </conditionalFormatting>
  <conditionalFormatting sqref="O3">
    <cfRule type="cellIs" dxfId="89" priority="5" operator="greaterThan">
      <formula>$J$3</formula>
    </cfRule>
    <cfRule type="cellIs" dxfId="88" priority="6" operator="lessThan">
      <formula>$J$3</formula>
    </cfRule>
  </conditionalFormatting>
  <conditionalFormatting sqref="G26">
    <cfRule type="cellIs" dxfId="87" priority="3" operator="lessThan">
      <formula>$J$3</formula>
    </cfRule>
    <cfRule type="cellIs" dxfId="86" priority="4" operator="greaterThan">
      <formula>$J$3</formula>
    </cfRule>
  </conditionalFormatting>
  <conditionalFormatting sqref="C24:C25">
    <cfRule type="cellIs" dxfId="85" priority="1" operator="lessThan">
      <formula>$J$3</formula>
    </cfRule>
    <cfRule type="cellIs" dxfId="84" priority="2" operator="greaterThan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min="2" max="2" width="10.7109375" style="3" bestFit="1" customWidth="1"/>
    <col min="3" max="3" width="12.42578125" style="25" bestFit="1" customWidth="1"/>
    <col min="4" max="4" width="10.28515625" style="25" bestFit="1" customWidth="1"/>
    <col min="5" max="5" width="12.28515625" style="25" bestFit="1" customWidth="1"/>
    <col min="24" max="24" width="13.85546875" style="25" bestFit="1" customWidth="1"/>
  </cols>
  <sheetData>
    <row r="2" spans="13:25">
      <c r="M2" t="s">
        <v>24</v>
      </c>
      <c r="N2" t="s">
        <v>25</v>
      </c>
      <c r="X2" t="s">
        <v>26</v>
      </c>
      <c r="Y2" s="18">
        <f>(C235)</f>
        <v>43.31</v>
      </c>
    </row>
    <row r="3" spans="13:25">
      <c r="M3">
        <v>51</v>
      </c>
      <c r="N3">
        <f>(1/213)</f>
        <v>4.6948356807511738E-3</v>
      </c>
    </row>
    <row r="31" spans="2:5">
      <c r="C31" t="s">
        <v>27</v>
      </c>
      <c r="D31" t="s">
        <v>28</v>
      </c>
      <c r="E31" t="s">
        <v>29</v>
      </c>
    </row>
    <row r="32" spans="2:5">
      <c r="B32" s="34">
        <v>44537</v>
      </c>
      <c r="C32" s="18">
        <v>235</v>
      </c>
      <c r="D32" s="18">
        <f>4.6*M3</f>
        <v>234.6</v>
      </c>
      <c r="E32" s="18">
        <f>50000*N3</f>
        <v>234.74178403755869</v>
      </c>
    </row>
    <row r="33" spans="2:5">
      <c r="B33" s="34">
        <v>44538</v>
      </c>
      <c r="C33" s="18">
        <v>272.32</v>
      </c>
      <c r="D33" s="18">
        <f>5.2*M3</f>
        <v>265.2</v>
      </c>
      <c r="E33" s="18">
        <f>50500*N3</f>
        <v>237.08920187793427</v>
      </c>
    </row>
    <row r="34" spans="2:5">
      <c r="B34" s="34">
        <v>44539</v>
      </c>
      <c r="C34" s="18">
        <v>259.27999999999997</v>
      </c>
      <c r="D34" s="18">
        <f>4.8*M3</f>
        <v>244.79999999999998</v>
      </c>
      <c r="E34" s="18">
        <f>47800*N3</f>
        <v>224.41314553990611</v>
      </c>
    </row>
    <row r="35" spans="2:5">
      <c r="B35" s="34">
        <v>44540</v>
      </c>
      <c r="C35" s="18">
        <v>255</v>
      </c>
      <c r="D35" s="18">
        <f>4.68*M3</f>
        <v>238.67999999999998</v>
      </c>
      <c r="E35" s="18">
        <f>48150*N3</f>
        <v>226.05633802816902</v>
      </c>
    </row>
    <row r="36" spans="2:5">
      <c r="B36" s="34">
        <v>44541</v>
      </c>
      <c r="C36" s="18">
        <v>251.56</v>
      </c>
      <c r="D36" s="18">
        <f>4.55*M3</f>
        <v>232.04999999999998</v>
      </c>
      <c r="E36" s="18">
        <f>48500*N3</f>
        <v>227.69953051643193</v>
      </c>
    </row>
    <row r="37" spans="2:5">
      <c r="B37" s="34">
        <v>44542</v>
      </c>
      <c r="C37" s="18">
        <v>251.63</v>
      </c>
      <c r="D37" s="18">
        <f>4.49*M3</f>
        <v>228.99</v>
      </c>
      <c r="E37" s="18">
        <f>50200*N3</f>
        <v>235.68075117370893</v>
      </c>
    </row>
    <row r="38" spans="2:5">
      <c r="B38" s="34">
        <v>44543</v>
      </c>
      <c r="C38" s="18">
        <v>216.13</v>
      </c>
      <c r="D38" s="18">
        <f>3.6*M3</f>
        <v>183.6</v>
      </c>
      <c r="E38" s="18">
        <f>47600*N3</f>
        <v>223.47417840375587</v>
      </c>
    </row>
    <row r="39" spans="2:5">
      <c r="B39" s="34">
        <v>44544</v>
      </c>
      <c r="C39" s="18">
        <v>232.52</v>
      </c>
      <c r="D39" s="18">
        <f>4.05*M3</f>
        <v>206.54999999999998</v>
      </c>
      <c r="E39" s="18">
        <f>46660*N3</f>
        <v>219.06103286384976</v>
      </c>
    </row>
    <row r="40" spans="2:5">
      <c r="B40" s="34">
        <v>44545</v>
      </c>
      <c r="C40" s="18">
        <v>232.35</v>
      </c>
      <c r="D40" s="18">
        <f>4*M3</f>
        <v>204</v>
      </c>
      <c r="E40" s="18">
        <f>47250*N3</f>
        <v>221.83098591549296</v>
      </c>
    </row>
    <row r="41" spans="2:5">
      <c r="B41" s="34">
        <v>44546</v>
      </c>
      <c r="C41" s="18">
        <v>232.2</v>
      </c>
      <c r="D41" s="18">
        <f>4*M3</f>
        <v>204</v>
      </c>
      <c r="E41" s="18">
        <f>47830*N3</f>
        <v>224.55399061032864</v>
      </c>
    </row>
    <row r="42" spans="2:5">
      <c r="B42" s="34">
        <v>44547</v>
      </c>
      <c r="C42" s="18">
        <v>228</v>
      </c>
      <c r="D42" s="18">
        <f>3.8*M3</f>
        <v>193.79999999999998</v>
      </c>
      <c r="E42" s="18">
        <f>47000*N3</f>
        <v>220.65727699530518</v>
      </c>
    </row>
    <row r="43" spans="2:5">
      <c r="B43" s="34">
        <v>44548</v>
      </c>
      <c r="C43" s="18">
        <v>224.35</v>
      </c>
      <c r="D43" s="18">
        <f>3.75*M3</f>
        <v>191.25</v>
      </c>
      <c r="E43" s="18">
        <f>47000*N3</f>
        <v>220.65727699530518</v>
      </c>
    </row>
    <row r="44" spans="2:5">
      <c r="B44" s="34">
        <v>44549</v>
      </c>
      <c r="C44" s="18">
        <v>219.73</v>
      </c>
      <c r="D44" s="18">
        <f>3.62*M3</f>
        <v>184.62</v>
      </c>
      <c r="E44" s="18">
        <f>47135*N3</f>
        <v>221.29107981220659</v>
      </c>
    </row>
    <row r="45" spans="2:5">
      <c r="B45" s="34">
        <v>44550</v>
      </c>
      <c r="C45" s="18">
        <v>210.32</v>
      </c>
      <c r="D45" s="18">
        <f>3.41*M3</f>
        <v>173.91</v>
      </c>
      <c r="E45" s="18">
        <f>45600*N3</f>
        <v>214.08450704225353</v>
      </c>
    </row>
    <row r="46" spans="2:5">
      <c r="B46" s="34">
        <v>44551</v>
      </c>
      <c r="C46" s="18">
        <v>216</v>
      </c>
      <c r="D46" s="18">
        <f>3.48*M3</f>
        <v>177.48</v>
      </c>
      <c r="E46" s="18">
        <f>47300*N3</f>
        <v>222.06572769953053</v>
      </c>
    </row>
    <row r="47" spans="2:5">
      <c r="B47" s="34">
        <v>44552</v>
      </c>
      <c r="C47" s="18">
        <v>222.58</v>
      </c>
      <c r="D47" s="18">
        <f>3.55*M3</f>
        <v>181.04999999999998</v>
      </c>
      <c r="E47" s="18">
        <f>49000*N3</f>
        <v>230.04694835680752</v>
      </c>
    </row>
    <row r="48" spans="2:5">
      <c r="B48" s="34">
        <v>44553</v>
      </c>
      <c r="C48" s="18">
        <v>223.95</v>
      </c>
      <c r="D48" s="18">
        <f>3.38*M3</f>
        <v>172.38</v>
      </c>
      <c r="E48" s="18">
        <f>51000*N3</f>
        <v>239.43661971830986</v>
      </c>
    </row>
    <row r="49" spans="2:5">
      <c r="B49" s="34">
        <v>44554</v>
      </c>
      <c r="C49" s="18">
        <v>233.46</v>
      </c>
      <c r="D49" s="18">
        <f>3.44*M3</f>
        <v>175.44</v>
      </c>
      <c r="E49" s="18">
        <f>51100*N3</f>
        <v>239.90610328638499</v>
      </c>
    </row>
    <row r="50" spans="2:5">
      <c r="B50" s="34">
        <v>44555</v>
      </c>
      <c r="C50" s="18">
        <v>231.2</v>
      </c>
      <c r="D50" s="18">
        <f>3.44*M3</f>
        <v>175.44</v>
      </c>
      <c r="E50" s="18">
        <f>50600*N3</f>
        <v>237.55868544600941</v>
      </c>
    </row>
    <row r="51" spans="2:5">
      <c r="B51" s="34">
        <v>44556</v>
      </c>
      <c r="C51" s="18">
        <v>233</v>
      </c>
      <c r="D51" s="18">
        <f>3.37*M3</f>
        <v>171.87</v>
      </c>
      <c r="E51" s="18">
        <f>50000*N3</f>
        <v>234.74178403755869</v>
      </c>
    </row>
    <row r="52" spans="2:5">
      <c r="B52" s="34">
        <v>44557</v>
      </c>
      <c r="C52" s="18">
        <v>234.81</v>
      </c>
      <c r="D52" s="18">
        <f>3.3*M3</f>
        <v>168.29999999999998</v>
      </c>
      <c r="E52" s="18">
        <f>50700*N3</f>
        <v>238.02816901408451</v>
      </c>
    </row>
    <row r="53" spans="2:5">
      <c r="B53" s="34">
        <v>44558</v>
      </c>
      <c r="C53" s="18">
        <v>227.26</v>
      </c>
      <c r="D53" s="18">
        <f>3.4*M3</f>
        <v>173.4</v>
      </c>
      <c r="E53" s="18">
        <f>48000*N3</f>
        <v>225.35211267605635</v>
      </c>
    </row>
    <row r="54" spans="2:5">
      <c r="B54" s="34">
        <v>44559</v>
      </c>
      <c r="C54" s="18">
        <v>224.71</v>
      </c>
      <c r="D54" s="18">
        <f>3.31*M3</f>
        <v>168.81</v>
      </c>
      <c r="E54" s="18">
        <f>47133*N3</f>
        <v>221.28169014084509</v>
      </c>
    </row>
    <row r="55" spans="2:5">
      <c r="B55" s="34">
        <v>44560</v>
      </c>
      <c r="C55" s="18">
        <v>223.77</v>
      </c>
      <c r="D55" s="18">
        <f>3.32*M3</f>
        <v>169.32</v>
      </c>
      <c r="E55" s="18">
        <f>47500*N3</f>
        <v>223.00469483568077</v>
      </c>
    </row>
    <row r="56" spans="2:5">
      <c r="B56" s="34">
        <v>44561</v>
      </c>
      <c r="C56" s="18">
        <v>224.5</v>
      </c>
      <c r="D56" s="18">
        <f>3.33*M3</f>
        <v>169.83</v>
      </c>
      <c r="E56" s="18">
        <f>47350*N3</f>
        <v>222.30046948356809</v>
      </c>
    </row>
    <row r="57" spans="2:5">
      <c r="B57" s="34">
        <v>44562</v>
      </c>
      <c r="C57" s="18">
        <v>225.2</v>
      </c>
      <c r="D57" s="18">
        <f>3.34*M3</f>
        <v>170.34</v>
      </c>
      <c r="E57" s="18">
        <f>47120*N3</f>
        <v>221.2206572769953</v>
      </c>
    </row>
    <row r="58" spans="2:5">
      <c r="B58" s="34">
        <v>44563</v>
      </c>
      <c r="C58" s="18">
        <v>225.91</v>
      </c>
      <c r="D58" s="18">
        <f>3.35*M3</f>
        <v>170.85</v>
      </c>
      <c r="E58" s="18">
        <f>47000*N3</f>
        <v>220.65727699530518</v>
      </c>
    </row>
    <row r="59" spans="2:5">
      <c r="B59" s="34">
        <v>44564</v>
      </c>
      <c r="C59" s="18">
        <f>230</f>
        <v>230</v>
      </c>
      <c r="D59" s="18">
        <f>3.45*M3</f>
        <v>175.95000000000002</v>
      </c>
      <c r="E59" s="18">
        <f>46750*N3</f>
        <v>219.48356807511738</v>
      </c>
    </row>
    <row r="60" spans="2:5">
      <c r="B60" s="34">
        <v>44565</v>
      </c>
      <c r="C60" s="18">
        <v>234.54</v>
      </c>
      <c r="D60" s="18">
        <f>3.56*M3</f>
        <v>181.56</v>
      </c>
      <c r="E60" s="18">
        <f>46500*N3</f>
        <v>218.30985915492957</v>
      </c>
    </row>
    <row r="61" spans="2:5">
      <c r="B61" s="34">
        <v>44566</v>
      </c>
      <c r="C61" s="18">
        <v>231.39</v>
      </c>
      <c r="D61" s="18">
        <f>3.46*M3</f>
        <v>176.46</v>
      </c>
      <c r="E61" s="18">
        <f>45800*N3</f>
        <v>215.02347417840377</v>
      </c>
    </row>
    <row r="62" spans="2:5">
      <c r="B62" s="34">
        <v>44567</v>
      </c>
      <c r="C62" s="18">
        <v>207</v>
      </c>
      <c r="D62" s="18">
        <f>3.05*M3</f>
        <v>155.54999999999998</v>
      </c>
      <c r="E62" s="18">
        <f>43500*$N$3</f>
        <v>204.22535211267606</v>
      </c>
    </row>
    <row r="63" spans="2:5">
      <c r="B63" s="34">
        <v>44568</v>
      </c>
      <c r="C63" s="18">
        <v>200</v>
      </c>
      <c r="D63" s="18">
        <f>2.9*M3</f>
        <v>147.9</v>
      </c>
      <c r="E63" s="18">
        <f>42900*$N$3</f>
        <v>201.40845070422534</v>
      </c>
    </row>
    <row r="64" spans="2:5">
      <c r="B64" s="34">
        <v>44569</v>
      </c>
      <c r="C64" s="18">
        <v>193</v>
      </c>
      <c r="D64" s="18">
        <f>2.8*M3</f>
        <v>142.79999999999998</v>
      </c>
      <c r="E64" s="18">
        <f>42300*$N$3</f>
        <v>198.59154929577466</v>
      </c>
    </row>
    <row r="65" spans="2:5">
      <c r="B65" s="34">
        <v>44570</v>
      </c>
      <c r="C65" s="18">
        <v>189</v>
      </c>
      <c r="D65" s="18">
        <f>2.69*M3</f>
        <v>137.19</v>
      </c>
      <c r="E65" s="18">
        <f>41800*N3</f>
        <v>196.24413145539907</v>
      </c>
    </row>
    <row r="66" spans="2:5">
      <c r="B66" s="34">
        <v>44571</v>
      </c>
      <c r="C66" s="18">
        <v>191</v>
      </c>
      <c r="D66" s="18">
        <f>2.7*M3</f>
        <v>137.70000000000002</v>
      </c>
      <c r="E66" s="18">
        <f>42200*N3</f>
        <v>198.12206572769952</v>
      </c>
    </row>
    <row r="67" spans="2:5">
      <c r="B67" s="34">
        <v>44572</v>
      </c>
      <c r="C67" s="18">
        <v>196</v>
      </c>
      <c r="D67" s="18">
        <f>2.71*M3</f>
        <v>138.21</v>
      </c>
      <c r="E67" s="18">
        <f>42800*N3</f>
        <v>200.93896713615024</v>
      </c>
    </row>
    <row r="68" spans="2:5">
      <c r="B68" s="34">
        <v>44573</v>
      </c>
      <c r="C68" s="18">
        <v>207.3</v>
      </c>
      <c r="D68" s="18">
        <f>2.95*M3</f>
        <v>150.45000000000002</v>
      </c>
      <c r="E68" s="18">
        <f>43600*N3</f>
        <v>204.69483568075117</v>
      </c>
    </row>
    <row r="69" spans="2:5">
      <c r="B69" s="34">
        <v>44574</v>
      </c>
      <c r="C69" s="18">
        <v>206.2</v>
      </c>
      <c r="D69" s="18">
        <f>2.92*M3</f>
        <v>148.91999999999999</v>
      </c>
      <c r="E69" s="18">
        <f>42840*N3</f>
        <v>201.12676056338029</v>
      </c>
    </row>
    <row r="70" spans="2:5">
      <c r="B70" s="34">
        <v>44575</v>
      </c>
      <c r="C70" s="18">
        <v>207.73</v>
      </c>
      <c r="D70" s="18">
        <f>2.97*M3</f>
        <v>151.47</v>
      </c>
      <c r="E70" s="18">
        <f>43000*N3</f>
        <v>201.87793427230048</v>
      </c>
    </row>
    <row r="71" spans="2:5">
      <c r="B71" s="34">
        <v>44576</v>
      </c>
      <c r="C71" s="18">
        <v>210.75</v>
      </c>
      <c r="D71" s="18">
        <f>3.01*M3</f>
        <v>153.51</v>
      </c>
      <c r="E71" s="18">
        <f>43330*N3</f>
        <v>203.42723004694835</v>
      </c>
    </row>
    <row r="72" spans="2:5">
      <c r="B72" s="34">
        <v>44577</v>
      </c>
      <c r="C72" s="18">
        <v>212.98</v>
      </c>
      <c r="D72" s="18">
        <f>3.07*M3</f>
        <v>156.57</v>
      </c>
      <c r="E72" s="18">
        <f>43000*N3</f>
        <v>201.87793427230048</v>
      </c>
    </row>
    <row r="73" spans="2:5">
      <c r="B73" s="34">
        <v>44578</v>
      </c>
      <c r="C73" s="18">
        <v>209</v>
      </c>
      <c r="D73" s="18">
        <f>3.06*M3</f>
        <v>156.06</v>
      </c>
      <c r="E73" s="18">
        <f>42100*N3</f>
        <v>197.65258215962442</v>
      </c>
    </row>
    <row r="74" spans="2:5">
      <c r="B74" s="34">
        <v>44579</v>
      </c>
      <c r="C74" s="18">
        <v>208.18</v>
      </c>
      <c r="D74" s="18">
        <f>3.01*M3</f>
        <v>153.51</v>
      </c>
      <c r="E74" s="18">
        <f>42100*$N$3</f>
        <v>197.65258215962442</v>
      </c>
    </row>
    <row r="75" spans="2:5">
      <c r="B75" s="34">
        <v>44580</v>
      </c>
      <c r="C75" s="18">
        <v>210</v>
      </c>
      <c r="D75" s="18">
        <f>3.03*M3</f>
        <v>154.53</v>
      </c>
      <c r="E75" s="18">
        <f>42100*$N$3</f>
        <v>197.65258215962442</v>
      </c>
    </row>
    <row r="76" spans="2:5">
      <c r="B76" s="34">
        <v>44581</v>
      </c>
      <c r="C76" s="18">
        <v>213</v>
      </c>
      <c r="D76" s="18">
        <f>3.06*M3</f>
        <v>156.06</v>
      </c>
      <c r="E76" s="18">
        <f>43200*N3</f>
        <v>202.81690140845072</v>
      </c>
    </row>
    <row r="77" spans="2:5">
      <c r="B77" s="34">
        <v>44582</v>
      </c>
      <c r="C77" s="18">
        <v>181.65</v>
      </c>
      <c r="D77" s="18">
        <f>2.65*M3</f>
        <v>135.15</v>
      </c>
      <c r="E77" s="18">
        <f>37000*N3</f>
        <v>173.70892018779344</v>
      </c>
    </row>
    <row r="78" spans="2:5">
      <c r="B78" s="34">
        <v>44583</v>
      </c>
      <c r="C78" s="18">
        <v>175</v>
      </c>
      <c r="D78" s="18">
        <f>2.55*M3</f>
        <v>130.04999999999998</v>
      </c>
      <c r="E78" s="18">
        <f>36000*N3</f>
        <v>169.01408450704227</v>
      </c>
    </row>
    <row r="79" spans="2:5">
      <c r="B79" s="34">
        <v>44584</v>
      </c>
      <c r="C79" s="18">
        <v>167</v>
      </c>
      <c r="D79" s="18">
        <f>2.4*M3</f>
        <v>122.39999999999999</v>
      </c>
      <c r="E79" s="18">
        <f>35200*N3</f>
        <v>165.25821596244131</v>
      </c>
    </row>
    <row r="80" spans="2:5">
      <c r="B80" s="34">
        <v>44585</v>
      </c>
      <c r="C80" s="18">
        <v>175</v>
      </c>
      <c r="D80" s="18">
        <f>2.4*M3</f>
        <v>122.39999999999999</v>
      </c>
      <c r="E80" s="18">
        <f>36000*N3</f>
        <v>169.01408450704227</v>
      </c>
    </row>
    <row r="81" spans="2:5">
      <c r="B81" s="34">
        <v>44586</v>
      </c>
      <c r="C81" s="18">
        <v>181.45</v>
      </c>
      <c r="D81" s="18">
        <f>2.55*M3</f>
        <v>130.04999999999998</v>
      </c>
      <c r="E81" s="18">
        <f>37350*N3</f>
        <v>175.35211267605635</v>
      </c>
    </row>
    <row r="82" spans="2:5">
      <c r="B82" s="34">
        <v>44587</v>
      </c>
      <c r="C82" s="18">
        <v>181</v>
      </c>
      <c r="D82" s="18">
        <f>2.55*$M$3</f>
        <v>130.04999999999998</v>
      </c>
      <c r="E82" s="18">
        <f>37700*$N$3</f>
        <v>176.99530516431926</v>
      </c>
    </row>
    <row r="83" spans="2:5">
      <c r="B83" s="34">
        <v>44588</v>
      </c>
      <c r="C83" s="18">
        <v>181</v>
      </c>
      <c r="D83" s="18">
        <f>2.55*$M$3</f>
        <v>130.04999999999998</v>
      </c>
      <c r="E83" s="18">
        <f>37700*$N$3</f>
        <v>176.99530516431926</v>
      </c>
    </row>
    <row r="84" spans="2:5">
      <c r="B84" s="34">
        <v>44589</v>
      </c>
      <c r="C84" s="18">
        <v>181</v>
      </c>
      <c r="D84" s="18">
        <f>2.55*$M$3</f>
        <v>130.04999999999998</v>
      </c>
      <c r="E84" s="18">
        <f>37000*$N$3</f>
        <v>173.70892018779344</v>
      </c>
    </row>
    <row r="85" spans="2:5">
      <c r="B85" s="34">
        <v>44590</v>
      </c>
      <c r="C85" s="18">
        <v>181</v>
      </c>
      <c r="D85" s="18">
        <f>2.55*$M$3</f>
        <v>130.04999999999998</v>
      </c>
      <c r="E85" s="18">
        <f>37700*$N$3</f>
        <v>176.99530516431926</v>
      </c>
    </row>
    <row r="86" spans="2:5">
      <c r="B86" s="34">
        <v>44591</v>
      </c>
      <c r="C86" s="18">
        <v>181</v>
      </c>
      <c r="D86" s="18">
        <f>2.54*$M$3</f>
        <v>129.54</v>
      </c>
      <c r="E86" s="18">
        <f>38000*$N$3</f>
        <v>178.40375586854461</v>
      </c>
    </row>
    <row r="87" spans="2:5">
      <c r="B87" s="34">
        <v>44592</v>
      </c>
      <c r="C87" s="18">
        <v>181</v>
      </c>
      <c r="D87" s="18">
        <f>2.55*$M$3</f>
        <v>130.04999999999998</v>
      </c>
      <c r="E87" s="18">
        <f>37700*$N$3</f>
        <v>176.99530516431926</v>
      </c>
    </row>
    <row r="88" spans="2:5">
      <c r="B88" s="34">
        <v>44593</v>
      </c>
      <c r="C88" s="18">
        <v>183</v>
      </c>
      <c r="D88" s="18">
        <f>2.55*$M$3</f>
        <v>130.04999999999998</v>
      </c>
      <c r="E88" s="18">
        <f>38500*$N$3</f>
        <v>180.75117370892019</v>
      </c>
    </row>
    <row r="89" spans="2:5">
      <c r="B89" s="34">
        <v>44594</v>
      </c>
      <c r="C89" s="18">
        <v>181</v>
      </c>
      <c r="D89" s="18">
        <f>2.5*$M$3</f>
        <v>127.5</v>
      </c>
      <c r="E89" s="18">
        <f>37000*$N$3</f>
        <v>173.70892018779344</v>
      </c>
    </row>
    <row r="90" spans="2:5">
      <c r="B90" s="34">
        <v>44595</v>
      </c>
      <c r="C90" s="18">
        <v>180.28</v>
      </c>
      <c r="D90" s="18">
        <f>2.46*$M$3</f>
        <v>125.46</v>
      </c>
      <c r="E90" s="18">
        <f>37000*$N$3</f>
        <v>173.70892018779344</v>
      </c>
    </row>
    <row r="91" spans="2:5">
      <c r="B91" s="34">
        <v>44596</v>
      </c>
      <c r="C91" s="18">
        <v>190</v>
      </c>
      <c r="D91" s="18">
        <f>2.64*$M$3</f>
        <v>134.64000000000001</v>
      </c>
      <c r="E91" s="18">
        <f>37000*N3</f>
        <v>173.70892018779344</v>
      </c>
    </row>
    <row r="92" spans="2:5">
      <c r="B92" s="34">
        <v>44597</v>
      </c>
      <c r="C92" s="18">
        <v>202.89</v>
      </c>
      <c r="D92" s="18">
        <f>2.72*$M$3</f>
        <v>138.72</v>
      </c>
      <c r="E92" s="18">
        <f>40000*N3</f>
        <v>187.79342723004694</v>
      </c>
    </row>
    <row r="93" spans="2:5">
      <c r="B93" s="34">
        <v>44598</v>
      </c>
      <c r="C93" s="18">
        <v>205</v>
      </c>
      <c r="D93" s="18">
        <f>2.8*$M$3</f>
        <v>142.79999999999998</v>
      </c>
      <c r="E93" s="18">
        <f>41500*N3</f>
        <v>194.83568075117373</v>
      </c>
    </row>
    <row r="94" spans="2:5">
      <c r="B94" s="34">
        <v>44599</v>
      </c>
      <c r="C94" s="18">
        <v>226.72</v>
      </c>
      <c r="D94" s="18">
        <f>3.23*$M$3</f>
        <v>164.73</v>
      </c>
      <c r="E94" s="18">
        <f>42600*N3</f>
        <v>200</v>
      </c>
    </row>
    <row r="95" spans="2:5">
      <c r="B95" s="34">
        <v>44600</v>
      </c>
      <c r="C95" s="18">
        <v>230</v>
      </c>
      <c r="D95" s="18">
        <f>3.28*$M$3</f>
        <v>167.28</v>
      </c>
      <c r="E95" s="18">
        <f>42800*$N$3</f>
        <v>200.93896713615024</v>
      </c>
    </row>
    <row r="96" spans="2:5">
      <c r="B96" s="34">
        <v>44601</v>
      </c>
      <c r="C96" s="18">
        <v>250</v>
      </c>
      <c r="D96" s="18">
        <f>3.4*$M$3</f>
        <v>173.4</v>
      </c>
      <c r="E96" s="18">
        <f>44000*$N$3</f>
        <v>206.57276995305165</v>
      </c>
    </row>
    <row r="97" spans="2:5">
      <c r="B97" s="34">
        <v>44602</v>
      </c>
      <c r="C97" s="18">
        <v>255</v>
      </c>
      <c r="D97" s="18">
        <f>3.7*$M$3</f>
        <v>188.70000000000002</v>
      </c>
      <c r="E97" s="18">
        <f>45000*$N$3</f>
        <v>211.26760563380282</v>
      </c>
    </row>
    <row r="98" spans="2:5">
      <c r="B98" s="34">
        <v>44603</v>
      </c>
      <c r="C98" s="18">
        <v>250</v>
      </c>
      <c r="D98" s="18">
        <f>3.6*$M$3</f>
        <v>183.6</v>
      </c>
      <c r="E98" s="18">
        <f>43600*$N$3</f>
        <v>204.69483568075117</v>
      </c>
    </row>
    <row r="99" spans="2:5">
      <c r="B99" s="34">
        <v>44604</v>
      </c>
      <c r="C99" s="18">
        <v>245</v>
      </c>
      <c r="D99" s="18">
        <f>3.5*$M$3</f>
        <v>178.5</v>
      </c>
      <c r="E99" s="18">
        <f>42300*$N$3</f>
        <v>198.59154929577466</v>
      </c>
    </row>
    <row r="100" spans="2:5">
      <c r="B100" s="34">
        <v>44605</v>
      </c>
      <c r="C100" s="18">
        <v>245</v>
      </c>
      <c r="D100" s="18">
        <f>3.5*$M$3</f>
        <v>178.5</v>
      </c>
      <c r="E100" s="18">
        <f>42500*$N$3</f>
        <v>199.53051643192489</v>
      </c>
    </row>
    <row r="101" spans="2:5">
      <c r="B101" s="34">
        <v>44606</v>
      </c>
      <c r="C101" s="18">
        <v>238</v>
      </c>
      <c r="D101" s="18">
        <f>3.4*$M$3</f>
        <v>173.4</v>
      </c>
      <c r="E101" s="18">
        <f>42000*$N$3</f>
        <v>197.18309859154931</v>
      </c>
    </row>
    <row r="102" spans="2:5">
      <c r="B102" s="34">
        <v>44607</v>
      </c>
      <c r="C102" s="18">
        <v>250</v>
      </c>
      <c r="D102" s="18">
        <f>3.61*M3</f>
        <v>184.10999999999999</v>
      </c>
      <c r="E102" s="18">
        <f>44100*N3</f>
        <v>207.04225352112675</v>
      </c>
    </row>
    <row r="103" spans="2:5">
      <c r="B103" s="34">
        <v>44608</v>
      </c>
      <c r="C103" s="18">
        <v>250</v>
      </c>
      <c r="D103" s="18">
        <f>3.68*M3</f>
        <v>187.68</v>
      </c>
      <c r="E103" s="18">
        <f>43500*N3</f>
        <v>204.22535211267606</v>
      </c>
    </row>
    <row r="104" spans="2:5">
      <c r="B104" s="34">
        <v>44609</v>
      </c>
      <c r="C104" s="18">
        <v>246</v>
      </c>
      <c r="D104" s="18">
        <f>3.65*M3</f>
        <v>186.15</v>
      </c>
      <c r="E104" s="18">
        <f>42000*N3</f>
        <v>197.18309859154931</v>
      </c>
    </row>
    <row r="105" spans="2:5">
      <c r="B105" s="34">
        <v>44610</v>
      </c>
      <c r="C105" s="18">
        <v>241.11</v>
      </c>
      <c r="D105" s="18">
        <f>3.54*$M$3</f>
        <v>180.54</v>
      </c>
      <c r="E105" s="18">
        <f>40200*$N$3</f>
        <v>188.73239436619718</v>
      </c>
    </row>
    <row r="106" spans="2:5">
      <c r="B106" s="34">
        <v>44611</v>
      </c>
      <c r="C106" s="18">
        <v>238</v>
      </c>
      <c r="D106" s="18">
        <f>3.5*$M$3</f>
        <v>178.5</v>
      </c>
      <c r="E106" s="18">
        <f>40000*$N$3</f>
        <v>187.79342723004694</v>
      </c>
    </row>
    <row r="107" spans="2:5">
      <c r="B107" s="34">
        <v>44612</v>
      </c>
      <c r="C107" s="18">
        <v>234</v>
      </c>
      <c r="D107" s="18">
        <f>3.4*$M$3</f>
        <v>173.4</v>
      </c>
      <c r="E107" s="18">
        <f>38300*$N$3</f>
        <v>179.81220657276995</v>
      </c>
    </row>
    <row r="108" spans="2:5">
      <c r="B108" s="34">
        <v>44613</v>
      </c>
      <c r="C108" s="18">
        <v>232</v>
      </c>
      <c r="D108" s="18">
        <f>3.44*$M$3</f>
        <v>175.44</v>
      </c>
      <c r="E108" s="18">
        <f>39000*$N$3</f>
        <v>183.09859154929578</v>
      </c>
    </row>
    <row r="109" spans="2:5">
      <c r="B109" s="34">
        <v>44614</v>
      </c>
      <c r="C109" s="18">
        <v>229.63</v>
      </c>
      <c r="D109" s="18">
        <f>3.34*$M$3</f>
        <v>170.34</v>
      </c>
      <c r="E109" s="18">
        <f>38000*$N$3</f>
        <v>178.40375586854461</v>
      </c>
    </row>
    <row r="110" spans="2:5">
      <c r="B110" s="34">
        <v>44630</v>
      </c>
      <c r="C110" s="18">
        <v>245</v>
      </c>
      <c r="D110" s="18">
        <f>3.45*$M$3</f>
        <v>175.95000000000002</v>
      </c>
      <c r="E110" s="18">
        <f>40000*$N$3</f>
        <v>187.79342723004694</v>
      </c>
    </row>
    <row r="111" spans="2:5">
      <c r="B111" s="34">
        <v>44639</v>
      </c>
      <c r="C111" s="18">
        <v>266</v>
      </c>
      <c r="D111" s="18">
        <f>3.75*$M$3</f>
        <v>191.25</v>
      </c>
      <c r="E111" s="18">
        <f>41900*$N$3</f>
        <v>196.71361502347418</v>
      </c>
    </row>
    <row r="112" spans="2:5">
      <c r="B112" s="34">
        <v>44649</v>
      </c>
      <c r="C112" s="18">
        <v>326</v>
      </c>
      <c r="D112" s="18">
        <f>4.65*$M$3</f>
        <v>237.15</v>
      </c>
      <c r="E112" s="18">
        <f>47500*$N$3</f>
        <v>223.00469483568077</v>
      </c>
    </row>
    <row r="113" spans="2:5">
      <c r="B113" s="34">
        <v>44653</v>
      </c>
      <c r="C113" s="18">
        <v>325.44</v>
      </c>
      <c r="D113" s="18">
        <f>4.57*$M$3</f>
        <v>233.07000000000002</v>
      </c>
      <c r="E113" s="18">
        <f>45700*$N$3</f>
        <v>214.55399061032864</v>
      </c>
    </row>
    <row r="114" spans="2:5">
      <c r="B114" s="34">
        <v>44657</v>
      </c>
      <c r="C114" s="18">
        <v>323.57</v>
      </c>
      <c r="D114" s="18">
        <f>4.55*$M$3</f>
        <v>232.04999999999998</v>
      </c>
      <c r="E114" s="18">
        <f>45300*$N$3</f>
        <v>212.67605633802816</v>
      </c>
    </row>
    <row r="115" spans="2:5">
      <c r="B115" s="34">
        <v>44660</v>
      </c>
      <c r="C115" s="18">
        <v>313</v>
      </c>
      <c r="D115" s="18">
        <f>4.42*$M$3</f>
        <v>225.42</v>
      </c>
      <c r="E115" s="18">
        <f>42500*$N$3</f>
        <v>199.53051643192489</v>
      </c>
    </row>
    <row r="116" spans="2:5">
      <c r="B116" s="34">
        <v>44662</v>
      </c>
      <c r="C116" s="18">
        <v>307.44</v>
      </c>
      <c r="D116" s="18">
        <f>4.36*$M$3</f>
        <v>222.36</v>
      </c>
      <c r="E116" s="18">
        <f>41500*$N$3</f>
        <v>194.83568075117373</v>
      </c>
    </row>
    <row r="117" spans="2:5">
      <c r="B117" s="34">
        <v>44665</v>
      </c>
      <c r="C117" s="18">
        <v>303.8</v>
      </c>
      <c r="D117" s="18">
        <f>4.33*$M$3</f>
        <v>220.83</v>
      </c>
      <c r="E117" s="18">
        <f>41000*$N$3</f>
        <v>192.48826291079811</v>
      </c>
    </row>
    <row r="118" spans="2:5">
      <c r="B118" s="34">
        <v>44667</v>
      </c>
      <c r="C118" s="18">
        <v>305.5</v>
      </c>
      <c r="D118" s="18">
        <f>4.31*$M$3</f>
        <v>219.80999999999997</v>
      </c>
      <c r="E118" s="18">
        <f>40500*$N$3</f>
        <v>190.14084507042253</v>
      </c>
    </row>
    <row r="119" spans="2:5">
      <c r="B119" s="34">
        <v>44669</v>
      </c>
      <c r="C119" s="18">
        <v>308</v>
      </c>
      <c r="D119" s="18">
        <f>4.33*$M$3</f>
        <v>220.83</v>
      </c>
      <c r="E119" s="18">
        <f>40880*$N$3</f>
        <v>191.924882629108</v>
      </c>
    </row>
    <row r="120" spans="2:5">
      <c r="B120" s="34">
        <v>44670</v>
      </c>
      <c r="C120" s="18">
        <v>316</v>
      </c>
      <c r="D120" s="18">
        <f>4.42*$M$3</f>
        <v>225.42</v>
      </c>
      <c r="E120" s="18">
        <f>41500*$N$3</f>
        <v>194.83568075117373</v>
      </c>
    </row>
    <row r="121" spans="2:5">
      <c r="B121" s="34">
        <v>44671</v>
      </c>
      <c r="C121" s="18">
        <v>317.5</v>
      </c>
      <c r="D121" s="18">
        <f>4.44*$M$3</f>
        <v>226.44000000000003</v>
      </c>
      <c r="E121" s="18">
        <f>41800*$N$3</f>
        <v>196.24413145539907</v>
      </c>
    </row>
    <row r="122" spans="2:5">
      <c r="B122" s="34">
        <v>44672</v>
      </c>
      <c r="C122" s="18">
        <v>318.5</v>
      </c>
      <c r="D122" s="18">
        <f>4.45*$M$3</f>
        <v>226.95000000000002</v>
      </c>
      <c r="E122" s="18">
        <f>41800*$N$3</f>
        <v>196.24413145539907</v>
      </c>
    </row>
    <row r="123" spans="2:5">
      <c r="B123" s="34">
        <v>44698</v>
      </c>
      <c r="C123" s="18">
        <v>215</v>
      </c>
      <c r="D123" s="18">
        <f>3*$M$3</f>
        <v>153</v>
      </c>
      <c r="E123" s="18">
        <f>30000*$N$3</f>
        <v>140.8450704225352</v>
      </c>
    </row>
    <row r="124" spans="2:5">
      <c r="B124" s="34">
        <v>44731</v>
      </c>
      <c r="C124" s="18">
        <v>90</v>
      </c>
      <c r="D124" s="18">
        <f>1*$M$3</f>
        <v>51</v>
      </c>
      <c r="E124" s="18">
        <f>18000*$N$3</f>
        <v>84.507042253521135</v>
      </c>
    </row>
    <row r="125" spans="2:5">
      <c r="B125" s="34">
        <v>44732</v>
      </c>
      <c r="C125" s="18">
        <v>98</v>
      </c>
      <c r="D125" s="18">
        <f>1*$M$3</f>
        <v>51</v>
      </c>
      <c r="E125" s="18">
        <f>20500*$N$3</f>
        <v>96.244131455399057</v>
      </c>
    </row>
    <row r="126" spans="2:5">
      <c r="B126" s="34">
        <v>44734</v>
      </c>
      <c r="C126" s="18">
        <v>99</v>
      </c>
      <c r="D126" s="18">
        <f>1*$M$3</f>
        <v>51</v>
      </c>
      <c r="E126" s="18">
        <f>20800*$N$3</f>
        <v>97.652582159624416</v>
      </c>
    </row>
    <row r="127" spans="2:5">
      <c r="B127" s="34">
        <v>44739</v>
      </c>
      <c r="C127" s="18">
        <v>101.5</v>
      </c>
      <c r="D127" s="18">
        <f>1*$M$3</f>
        <v>51</v>
      </c>
      <c r="E127" s="18">
        <f>21500*$N$3</f>
        <v>100.93896713615024</v>
      </c>
    </row>
    <row r="128" spans="2:5">
      <c r="B128" s="34">
        <v>44741</v>
      </c>
      <c r="C128" s="18">
        <v>95.5</v>
      </c>
      <c r="D128" s="18">
        <f>0.95*$M$3</f>
        <v>48.449999999999996</v>
      </c>
      <c r="E128" s="18">
        <f>20240*$N$3</f>
        <v>95.02347417840376</v>
      </c>
    </row>
    <row r="129" spans="2:5">
      <c r="B129" s="34">
        <v>44743</v>
      </c>
      <c r="C129" s="18">
        <v>88</v>
      </c>
      <c r="D129" s="18">
        <f>0.895*$M$3</f>
        <v>45.645000000000003</v>
      </c>
      <c r="E129" s="18">
        <f>19100*$N$3</f>
        <v>89.671361502347423</v>
      </c>
    </row>
    <row r="130" spans="2:5">
      <c r="B130" s="34">
        <v>44745</v>
      </c>
      <c r="C130" s="18">
        <v>85</v>
      </c>
      <c r="D130" s="18">
        <f>0.85*$M$3</f>
        <v>43.35</v>
      </c>
      <c r="E130" s="18">
        <f>19400*$N$3</f>
        <v>91.079812206572768</v>
      </c>
    </row>
    <row r="131" spans="2:5">
      <c r="B131" s="34">
        <v>44748</v>
      </c>
      <c r="C131" s="18">
        <v>93.12</v>
      </c>
      <c r="D131" s="18">
        <f>0.94*$M$3</f>
        <v>47.94</v>
      </c>
      <c r="E131" s="18">
        <f>20200*$N$3</f>
        <v>94.835680751173712</v>
      </c>
    </row>
    <row r="132" spans="2:5">
      <c r="B132" s="34">
        <v>44751</v>
      </c>
      <c r="C132" s="18">
        <v>105</v>
      </c>
      <c r="D132" s="18">
        <f>1.06*$M$3</f>
        <v>54.06</v>
      </c>
      <c r="E132" s="18">
        <f>21500*$N$3</f>
        <v>100.93896713615024</v>
      </c>
    </row>
    <row r="133" spans="2:5">
      <c r="B133" s="34">
        <v>44752</v>
      </c>
      <c r="C133" s="18">
        <v>101</v>
      </c>
      <c r="D133" s="18">
        <f>1.02*$M$3</f>
        <v>52.02</v>
      </c>
      <c r="E133" s="18">
        <f>21320*$N$3</f>
        <v>100.09389671361502</v>
      </c>
    </row>
    <row r="134" spans="2:5">
      <c r="B134" s="34">
        <v>44754</v>
      </c>
      <c r="C134" s="18">
        <v>97</v>
      </c>
      <c r="D134" s="18">
        <f>0.98*$M$3</f>
        <v>49.98</v>
      </c>
      <c r="E134" s="18">
        <f>20260*$N$3</f>
        <v>95.117370892018783</v>
      </c>
    </row>
    <row r="135" spans="2:5">
      <c r="B135" s="34">
        <v>44756</v>
      </c>
      <c r="C135" s="18">
        <v>97</v>
      </c>
      <c r="D135" s="18">
        <f>0.97*$M$3</f>
        <v>49.47</v>
      </c>
      <c r="E135" s="18">
        <f>20500*$N$3</f>
        <v>96.244131455399057</v>
      </c>
    </row>
    <row r="136" spans="2:5">
      <c r="B136" s="34">
        <v>44757</v>
      </c>
      <c r="C136" s="18">
        <v>99</v>
      </c>
      <c r="D136" s="18">
        <f>0.99*$M$3</f>
        <v>50.49</v>
      </c>
      <c r="E136" s="18">
        <f>20800*$N$3</f>
        <v>97.652582159624416</v>
      </c>
    </row>
    <row r="137" spans="2:5">
      <c r="B137" s="34">
        <v>44758</v>
      </c>
      <c r="C137" s="18">
        <v>103</v>
      </c>
      <c r="D137" s="18">
        <f>1.04*$M$3</f>
        <v>53.04</v>
      </c>
      <c r="E137" s="18">
        <f>21200*$N$3</f>
        <v>99.53051643192488</v>
      </c>
    </row>
    <row r="138" spans="2:5">
      <c r="B138" s="34">
        <v>44760</v>
      </c>
      <c r="C138" s="18">
        <v>107</v>
      </c>
      <c r="D138" s="18">
        <f>1.09*$M$3</f>
        <v>55.59</v>
      </c>
      <c r="E138" s="18">
        <f>22400*$N$3</f>
        <v>105.16431924882629</v>
      </c>
    </row>
    <row r="139" spans="2:5">
      <c r="B139" s="34">
        <v>44761</v>
      </c>
      <c r="C139" s="18">
        <v>113</v>
      </c>
      <c r="D139" s="18">
        <f>1.13*$M$3</f>
        <v>57.629999999999995</v>
      </c>
      <c r="E139" s="18">
        <f>23300*$N$3</f>
        <v>109.38967136150235</v>
      </c>
    </row>
    <row r="140" spans="2:5">
      <c r="B140" s="34">
        <v>44764</v>
      </c>
      <c r="C140" s="18">
        <v>111</v>
      </c>
      <c r="D140" s="18">
        <f>1.13*$M$3</f>
        <v>57.629999999999995</v>
      </c>
      <c r="E140" s="18">
        <f>23000*$N$3</f>
        <v>107.98122065727699</v>
      </c>
    </row>
    <row r="141" spans="2:5">
      <c r="B141" s="34">
        <v>44770</v>
      </c>
      <c r="C141" s="18">
        <v>118</v>
      </c>
      <c r="D141" s="18">
        <f>1.19*$M$3</f>
        <v>60.69</v>
      </c>
      <c r="E141" s="18">
        <f>23900*$N$3</f>
        <v>112.20657276995306</v>
      </c>
    </row>
    <row r="142" spans="2:5">
      <c r="B142" s="34">
        <v>44772</v>
      </c>
      <c r="C142" s="18">
        <v>121</v>
      </c>
      <c r="D142" s="18">
        <f>1.2*$M$3</f>
        <v>61.199999999999996</v>
      </c>
      <c r="E142" s="18">
        <f>24500*$N$3</f>
        <v>115.02347417840376</v>
      </c>
    </row>
    <row r="143" spans="2:5">
      <c r="B143" s="34">
        <v>44774</v>
      </c>
      <c r="C143" s="18">
        <v>115</v>
      </c>
      <c r="D143" s="18">
        <f>1.14*$M$3</f>
        <v>58.139999999999993</v>
      </c>
      <c r="E143" s="18">
        <f>23350*$N$3</f>
        <v>109.6244131455399</v>
      </c>
    </row>
    <row r="144" spans="2:5">
      <c r="B144" s="34">
        <v>44778</v>
      </c>
      <c r="C144" s="18">
        <v>104</v>
      </c>
      <c r="D144" s="18">
        <f>1*$M$3</f>
        <v>51</v>
      </c>
      <c r="E144" s="18">
        <f>22800*$N$3</f>
        <v>107.04225352112677</v>
      </c>
    </row>
    <row r="145" spans="2:5">
      <c r="B145" s="34">
        <v>44780</v>
      </c>
      <c r="C145" s="18">
        <v>102</v>
      </c>
      <c r="D145" s="18">
        <f>0.95*$M$3</f>
        <v>48.449999999999996</v>
      </c>
      <c r="E145" s="18">
        <f>23200*$N$3</f>
        <v>108.92018779342723</v>
      </c>
    </row>
    <row r="146" spans="2:5">
      <c r="B146" s="34">
        <v>44781</v>
      </c>
      <c r="C146" s="18">
        <v>104</v>
      </c>
      <c r="D146" s="18">
        <f>0.97*$M$3</f>
        <v>49.47</v>
      </c>
      <c r="E146" s="18">
        <f>23850*$N$3</f>
        <v>111.97183098591549</v>
      </c>
    </row>
    <row r="147" spans="2:5">
      <c r="B147" s="34">
        <v>44783</v>
      </c>
      <c r="C147" s="18">
        <v>103.6</v>
      </c>
      <c r="D147" s="18">
        <f>0.94*$M$3</f>
        <v>47.94</v>
      </c>
      <c r="E147" s="18">
        <f>24000*$N$3</f>
        <v>112.67605633802818</v>
      </c>
    </row>
    <row r="148" spans="2:5">
      <c r="B148" s="34">
        <v>44784</v>
      </c>
      <c r="C148" s="18">
        <v>103.7</v>
      </c>
      <c r="D148" s="18">
        <f>0.95*$M$3</f>
        <v>48.449999999999996</v>
      </c>
      <c r="E148" s="18">
        <f>24170*$N$3</f>
        <v>113.47417840375587</v>
      </c>
    </row>
    <row r="149" spans="2:5">
      <c r="B149" s="34">
        <v>44787</v>
      </c>
      <c r="C149" s="18">
        <v>104.5</v>
      </c>
      <c r="D149" s="18">
        <f>0.95*$M$3</f>
        <v>48.449999999999996</v>
      </c>
      <c r="E149" s="18">
        <f>24500*$N$3</f>
        <v>115.02347417840376</v>
      </c>
    </row>
    <row r="150" spans="2:5">
      <c r="B150" s="34">
        <v>44791</v>
      </c>
      <c r="C150" s="18">
        <v>98.5</v>
      </c>
      <c r="D150" s="18">
        <f>0.9*$M$3</f>
        <v>45.9</v>
      </c>
      <c r="E150" s="18">
        <f>23500*$N$3</f>
        <v>110.32863849765259</v>
      </c>
    </row>
    <row r="151" spans="2:5">
      <c r="B151" s="34">
        <v>44795</v>
      </c>
      <c r="C151" s="18">
        <v>90</v>
      </c>
      <c r="D151" s="18">
        <f>0.83*$M$3</f>
        <v>42.33</v>
      </c>
      <c r="E151" s="18">
        <f>21000*$N$3</f>
        <v>98.591549295774655</v>
      </c>
    </row>
    <row r="152" spans="2:5">
      <c r="B152" s="34">
        <v>44796</v>
      </c>
      <c r="C152" s="18">
        <v>94.5</v>
      </c>
      <c r="D152" s="18">
        <f>0.87*$M$3</f>
        <v>44.37</v>
      </c>
      <c r="E152" s="18">
        <f>21500*$N$3</f>
        <v>100.93896713615024</v>
      </c>
    </row>
    <row r="153" spans="2:5">
      <c r="B153" s="34">
        <v>44797</v>
      </c>
      <c r="C153" s="18">
        <v>96.3</v>
      </c>
      <c r="D153" s="18">
        <f>0.89*$M$3</f>
        <v>45.39</v>
      </c>
      <c r="E153" s="18">
        <f>21500*$N$3</f>
        <v>100.93896713615024</v>
      </c>
    </row>
    <row r="154" spans="2:5">
      <c r="B154" s="34">
        <v>44799</v>
      </c>
      <c r="C154" s="18">
        <v>101.36</v>
      </c>
      <c r="D154" s="18">
        <f>0.94*$M$3</f>
        <v>47.94</v>
      </c>
      <c r="E154" s="18">
        <f>21700*$N$3</f>
        <v>101.87793427230048</v>
      </c>
    </row>
    <row r="155" spans="2:5">
      <c r="B155" s="34">
        <v>44804</v>
      </c>
      <c r="C155" s="18">
        <v>97</v>
      </c>
      <c r="D155" s="18">
        <f>0.92*$M$3</f>
        <v>46.92</v>
      </c>
      <c r="E155" s="18">
        <f>20100*$N$3</f>
        <v>94.366197183098592</v>
      </c>
    </row>
    <row r="156" spans="2:5">
      <c r="B156" s="34">
        <v>44808</v>
      </c>
      <c r="C156" s="18">
        <v>115</v>
      </c>
      <c r="D156" s="18">
        <f>1.18*$M$3</f>
        <v>60.18</v>
      </c>
      <c r="E156" s="18">
        <f>19800*$N$3</f>
        <v>92.957746478873247</v>
      </c>
    </row>
    <row r="157" spans="2:5">
      <c r="B157" s="34">
        <v>44809</v>
      </c>
      <c r="C157" s="18">
        <v>124.2</v>
      </c>
      <c r="D157" s="18">
        <f>1.29*$M$3</f>
        <v>65.790000000000006</v>
      </c>
      <c r="E157" s="18">
        <f>19850*$N$3</f>
        <v>93.1924882629108</v>
      </c>
    </row>
    <row r="158" spans="2:5">
      <c r="B158" s="34">
        <v>44811</v>
      </c>
      <c r="C158" s="18">
        <v>103</v>
      </c>
      <c r="D158" s="18">
        <f>1.01*$M$3</f>
        <v>51.51</v>
      </c>
      <c r="E158" s="18">
        <f>19400*$N$3</f>
        <v>91.079812206572768</v>
      </c>
    </row>
    <row r="159" spans="2:5">
      <c r="B159" s="34">
        <v>44813</v>
      </c>
      <c r="C159" s="18">
        <v>110</v>
      </c>
      <c r="D159" s="18">
        <f>1.06*$M$3</f>
        <v>54.06</v>
      </c>
      <c r="E159" s="18">
        <f>21100*$N$3</f>
        <v>99.061032863849761</v>
      </c>
    </row>
    <row r="160" spans="2:5">
      <c r="B160" s="34">
        <v>44817</v>
      </c>
      <c r="C160" s="18">
        <v>101</v>
      </c>
      <c r="D160" s="18">
        <f>(0.95*$M$3)</f>
        <v>48.449999999999996</v>
      </c>
      <c r="E160" s="18">
        <f>(20800*$N$3)</f>
        <v>97.652582159624416</v>
      </c>
    </row>
    <row r="161" spans="2:5">
      <c r="B161" s="34">
        <v>44819</v>
      </c>
      <c r="C161" s="18">
        <v>102.85</v>
      </c>
      <c r="D161" s="18">
        <f>(0.99*$M$3)</f>
        <v>50.49</v>
      </c>
      <c r="E161" s="18">
        <f>(19750*$N$3)</f>
        <v>92.72300469483568</v>
      </c>
    </row>
    <row r="162" spans="2:5">
      <c r="B162" s="34">
        <v>44820</v>
      </c>
      <c r="C162" s="18">
        <v>100.77</v>
      </c>
      <c r="D162" s="18">
        <f>(0.96*$M$3)</f>
        <v>48.96</v>
      </c>
      <c r="E162" s="18">
        <f>(19800*$N$3)</f>
        <v>92.957746478873247</v>
      </c>
    </row>
    <row r="163" spans="2:5">
      <c r="B163" s="34">
        <v>44822</v>
      </c>
      <c r="C163" s="18">
        <v>95</v>
      </c>
      <c r="D163" s="18">
        <f>(0.89*$M$3)</f>
        <v>45.39</v>
      </c>
      <c r="E163" s="18">
        <f>(19700*$N$3)</f>
        <v>92.488262910798127</v>
      </c>
    </row>
    <row r="164" spans="2:5">
      <c r="B164" s="34">
        <v>44825</v>
      </c>
      <c r="C164" s="18">
        <v>91</v>
      </c>
      <c r="D164" s="18">
        <f>(0.84*$M$3)</f>
        <v>42.839999999999996</v>
      </c>
      <c r="E164" s="18">
        <f>(19129*$N$3)</f>
        <v>89.8075117370892</v>
      </c>
    </row>
    <row r="165" spans="2:5">
      <c r="B165" s="34">
        <v>44829</v>
      </c>
      <c r="C165" s="18">
        <v>88</v>
      </c>
      <c r="D165" s="18">
        <f>(0.79*$M$3)</f>
        <v>40.29</v>
      </c>
      <c r="E165" s="18">
        <f>(19000*$N$3)</f>
        <v>89.201877934272304</v>
      </c>
    </row>
    <row r="166" spans="2:5">
      <c r="B166" s="34">
        <v>44834</v>
      </c>
      <c r="C166" s="18">
        <v>83</v>
      </c>
      <c r="D166" s="18">
        <f>(0.72*$M$3)</f>
        <v>36.72</v>
      </c>
      <c r="E166" s="18">
        <f>(19500*$N$3)</f>
        <v>91.549295774647888</v>
      </c>
    </row>
    <row r="167" spans="2:5">
      <c r="B167" s="34">
        <v>44835</v>
      </c>
      <c r="C167" s="18">
        <v>80.709999999999894</v>
      </c>
      <c r="D167" s="18">
        <f>(0.7*$M$3)</f>
        <v>35.699999999999996</v>
      </c>
      <c r="E167" s="18">
        <f>(19300*$N$3)</f>
        <v>90.610328638497649</v>
      </c>
    </row>
    <row r="168" spans="2:5">
      <c r="B168" s="34">
        <v>44838</v>
      </c>
      <c r="C168" s="18">
        <v>81.89</v>
      </c>
      <c r="D168" s="18">
        <f>(0.7*$M$3)</f>
        <v>35.699999999999996</v>
      </c>
      <c r="E168" s="18">
        <f>(20097.4072843148*$N$3)</f>
        <v>94.354024808989664</v>
      </c>
    </row>
    <row r="169" spans="2:5">
      <c r="B169" s="34">
        <v>44840</v>
      </c>
      <c r="C169" s="18">
        <v>82.63</v>
      </c>
      <c r="D169" s="18">
        <f>(0.7*$M$3)</f>
        <v>35.699999999999996</v>
      </c>
      <c r="E169" s="18">
        <f>(20280.2350749507*$N$3)</f>
        <v>95.212371243899995</v>
      </c>
    </row>
    <row r="170" spans="2:5">
      <c r="B170" s="34">
        <v>44844</v>
      </c>
      <c r="C170" s="18">
        <v>76.62</v>
      </c>
      <c r="D170" s="18">
        <f>(0.63*$M$3)</f>
        <v>32.130000000000003</v>
      </c>
      <c r="E170" s="18">
        <f>(19112.794925185*$N$3)</f>
        <v>89.731431573638503</v>
      </c>
    </row>
    <row r="171" spans="2:5">
      <c r="B171" s="34">
        <v>44853</v>
      </c>
      <c r="C171" s="18">
        <v>75.89</v>
      </c>
      <c r="D171" s="18">
        <f>(0.63*$M$3)</f>
        <v>32.130000000000003</v>
      </c>
      <c r="E171" s="18">
        <f>(19200*$N$3)</f>
        <v>90.140845070422543</v>
      </c>
    </row>
    <row r="172" spans="2:5">
      <c r="B172" s="34">
        <v>44861</v>
      </c>
      <c r="C172" s="18">
        <v>80.67</v>
      </c>
      <c r="D172" s="18">
        <f>(0.65*$M$3)</f>
        <v>33.15</v>
      </c>
      <c r="E172" s="18">
        <f>(20580*$N$3)</f>
        <v>96.619718309859152</v>
      </c>
    </row>
    <row r="173" spans="2:5">
      <c r="B173" s="34">
        <v>44864</v>
      </c>
      <c r="C173" s="18">
        <v>81.16</v>
      </c>
      <c r="D173" s="18">
        <f>(0.65*$M$3)</f>
        <v>33.15</v>
      </c>
      <c r="E173" s="18">
        <f>(20700*$N$3)</f>
        <v>97.183098591549296</v>
      </c>
    </row>
    <row r="174" spans="2:5">
      <c r="B174" s="34">
        <v>44866</v>
      </c>
      <c r="C174" s="18">
        <v>80.45</v>
      </c>
      <c r="D174" s="18">
        <f>(0.648*$M$3)</f>
        <v>33.048000000000002</v>
      </c>
      <c r="E174" s="18">
        <f>(20533*$N$3)</f>
        <v>96.399061032863855</v>
      </c>
    </row>
    <row r="175" spans="2:5">
      <c r="B175" s="34">
        <v>44870</v>
      </c>
      <c r="C175" s="18">
        <v>82.39</v>
      </c>
      <c r="D175" s="18">
        <f>(0.658*$M$3)</f>
        <v>33.558</v>
      </c>
      <c r="E175" s="18">
        <f>(21290*$N$3)</f>
        <v>99.953051643192495</v>
      </c>
    </row>
    <row r="176" spans="2:5">
      <c r="B176" s="34">
        <v>44873</v>
      </c>
      <c r="C176" s="18">
        <v>76.61</v>
      </c>
      <c r="D176" s="18">
        <f>(0.62*$M$3)</f>
        <v>31.62</v>
      </c>
      <c r="E176" s="18">
        <f>(19679.3031320138*$N$3)</f>
        <v>92.391094516496722</v>
      </c>
    </row>
    <row r="177" spans="2:5">
      <c r="B177" s="34">
        <v>44878</v>
      </c>
      <c r="C177" s="18">
        <v>62.64</v>
      </c>
      <c r="D177" s="18">
        <f>(0.48*$M$3)</f>
        <v>24.48</v>
      </c>
      <c r="E177" s="18">
        <f>(16550*$N$3)</f>
        <v>77.699530516431921</v>
      </c>
    </row>
    <row r="178" spans="2:5">
      <c r="B178" s="34">
        <v>44880</v>
      </c>
      <c r="C178" s="18">
        <v>63.84</v>
      </c>
      <c r="D178" s="18">
        <f>(0.48*$M$3)</f>
        <v>24.48</v>
      </c>
      <c r="E178" s="18">
        <f>(16700*$N$3)</f>
        <v>78.403755868544607</v>
      </c>
    </row>
    <row r="179" spans="2:5">
      <c r="B179" s="34">
        <v>44887</v>
      </c>
      <c r="C179" s="18">
        <v>60</v>
      </c>
      <c r="D179" s="18">
        <f>(0.455*$M$3)</f>
        <v>23.205000000000002</v>
      </c>
      <c r="E179" s="18">
        <f>(16150*$N$3)</f>
        <v>75.821596244131456</v>
      </c>
    </row>
    <row r="180" spans="2:5">
      <c r="B180" s="34">
        <v>44891</v>
      </c>
      <c r="C180" s="18">
        <v>60.45</v>
      </c>
      <c r="D180" s="18">
        <f>(0.46*$M$3)</f>
        <v>23.46</v>
      </c>
      <c r="E180" s="18">
        <f>(16466*$N$3)</f>
        <v>77.305164319248831</v>
      </c>
    </row>
    <row r="181" spans="2:5">
      <c r="B181" s="34">
        <v>44896</v>
      </c>
      <c r="C181" s="18">
        <v>62.6</v>
      </c>
      <c r="D181" s="18">
        <f>(0.47*$M$3)</f>
        <v>23.97</v>
      </c>
      <c r="E181" s="18">
        <f>(17080*$N$3)</f>
        <v>80.187793427230048</v>
      </c>
    </row>
    <row r="182" spans="2:5">
      <c r="B182" s="34">
        <v>44902</v>
      </c>
      <c r="C182" s="18">
        <v>62.26</v>
      </c>
      <c r="D182" s="18">
        <f>(0.48*$M$3)</f>
        <v>24.48</v>
      </c>
      <c r="E182" s="18">
        <f>(16799*$N$3)</f>
        <v>78.868544600938975</v>
      </c>
    </row>
    <row r="183" spans="2:5">
      <c r="B183" s="34">
        <v>44907</v>
      </c>
      <c r="C183" s="18">
        <v>63.09</v>
      </c>
      <c r="D183" s="18">
        <f>(0.48*$M$3)</f>
        <v>24.48</v>
      </c>
      <c r="E183" s="18">
        <f>(17160*$N$3)</f>
        <v>80.563380281690144</v>
      </c>
    </row>
    <row r="184" spans="2:5">
      <c r="B184" s="34">
        <v>44909</v>
      </c>
      <c r="C184" s="18">
        <v>65.38</v>
      </c>
      <c r="D184" s="18">
        <f>(0.49*$M$3)</f>
        <v>24.99</v>
      </c>
      <c r="E184" s="18">
        <f>(17822*$N$3)</f>
        <v>83.671361502347423</v>
      </c>
    </row>
    <row r="185" spans="2:5">
      <c r="B185" s="34">
        <v>44912</v>
      </c>
      <c r="C185" s="18">
        <v>60.84</v>
      </c>
      <c r="D185" s="18">
        <f>(0.455*$M$3)</f>
        <v>23.205000000000002</v>
      </c>
      <c r="E185" s="18">
        <f>(16710*$N$3)</f>
        <v>78.450704225352112</v>
      </c>
    </row>
    <row r="186" spans="2:5">
      <c r="B186" s="34">
        <v>44915</v>
      </c>
      <c r="C186" s="18">
        <v>60.92</v>
      </c>
      <c r="D186" s="18">
        <f>(0.452*$M$3)</f>
        <v>23.052</v>
      </c>
      <c r="E186" s="18">
        <f>(16840*$N$3)</f>
        <v>79.061032863849761</v>
      </c>
    </row>
    <row r="187" spans="2:5">
      <c r="B187" s="34">
        <v>44928</v>
      </c>
      <c r="C187" s="18">
        <v>58.87</v>
      </c>
      <c r="D187" s="18">
        <f>(0.42*$M$3)</f>
        <v>21.419999999999998</v>
      </c>
      <c r="E187" s="18">
        <f>(16730*$N$3)</f>
        <v>78.544600938967136</v>
      </c>
    </row>
    <row r="188" spans="2:5">
      <c r="B188" s="34">
        <v>44935</v>
      </c>
      <c r="C188" s="18">
        <v>59.06</v>
      </c>
      <c r="D188" s="18">
        <f>(0.42*$M$3)</f>
        <v>21.419999999999998</v>
      </c>
      <c r="E188" s="18">
        <f>(17100*$N$3)</f>
        <v>80.281690140845072</v>
      </c>
    </row>
    <row r="189" spans="2:5">
      <c r="B189" s="34">
        <v>44936</v>
      </c>
      <c r="C189" s="18">
        <v>60.11</v>
      </c>
      <c r="D189" s="18">
        <f>(0.43*$M$3)</f>
        <v>21.93</v>
      </c>
      <c r="E189" s="18">
        <f>(17268*$N$3)</f>
        <v>81.070422535211264</v>
      </c>
    </row>
    <row r="190" spans="2:5">
      <c r="B190" s="34">
        <v>44937</v>
      </c>
      <c r="C190" s="18">
        <v>60.45</v>
      </c>
      <c r="D190" s="18">
        <f>(0.43*$M$3)</f>
        <v>21.93</v>
      </c>
      <c r="E190" s="18">
        <f>(17550*$N$3)</f>
        <v>82.394366197183103</v>
      </c>
    </row>
    <row r="191" spans="2:5">
      <c r="B191" s="34">
        <v>44938</v>
      </c>
      <c r="C191" s="18">
        <v>64.650000000000006</v>
      </c>
      <c r="D191" s="18">
        <f>(0.462*$M$3)</f>
        <v>23.562000000000001</v>
      </c>
      <c r="E191" s="18">
        <f>(18880*$N$3)</f>
        <v>88.63849765258216</v>
      </c>
    </row>
    <row r="192" spans="2:5">
      <c r="B192" s="34">
        <v>44939</v>
      </c>
      <c r="C192" s="18">
        <v>65.849999999999895</v>
      </c>
      <c r="D192" s="18">
        <f>(0.466*$M$3)</f>
        <v>23.766000000000002</v>
      </c>
      <c r="E192" s="18">
        <f>(19350*$N$3)</f>
        <v>90.845070422535215</v>
      </c>
    </row>
    <row r="193" spans="2:5">
      <c r="B193" s="34">
        <v>44941</v>
      </c>
      <c r="C193" s="18">
        <v>71.42</v>
      </c>
      <c r="D193" s="18">
        <f>(0.5*$M$3)</f>
        <v>25.5</v>
      </c>
      <c r="E193" s="18">
        <f>(21000*$N$3)</f>
        <v>98.591549295774655</v>
      </c>
    </row>
    <row r="194" spans="2:5">
      <c r="B194" s="34">
        <v>44943</v>
      </c>
      <c r="C194" s="18">
        <v>72.02</v>
      </c>
      <c r="D194" s="18">
        <f>(0.51*$M$3)</f>
        <v>26.01</v>
      </c>
      <c r="E194" s="18">
        <f>(21180*$N$3)</f>
        <v>99.436619718309856</v>
      </c>
    </row>
    <row r="195" spans="2:5">
      <c r="B195" s="34">
        <v>44947</v>
      </c>
      <c r="C195" s="18">
        <v>76.94</v>
      </c>
      <c r="D195" s="18">
        <f>(0.54*$M$3)</f>
        <v>27.540000000000003</v>
      </c>
      <c r="E195" s="18">
        <f>(22875*$N$3)</f>
        <v>107.3943661971831</v>
      </c>
    </row>
    <row r="196" spans="2:5">
      <c r="B196" s="34">
        <v>44952</v>
      </c>
      <c r="C196" s="18">
        <v>77.19</v>
      </c>
      <c r="D196" s="18">
        <f>(0.537*$M$3)</f>
        <v>27.387</v>
      </c>
      <c r="E196" s="18">
        <f>(23000*$N$3)</f>
        <v>107.98122065727699</v>
      </c>
    </row>
    <row r="197" spans="2:5">
      <c r="B197" s="34">
        <v>44955</v>
      </c>
      <c r="C197" s="18">
        <v>84.2</v>
      </c>
      <c r="D197" s="18">
        <f>(0.6*$M$3)</f>
        <v>30.599999999999998</v>
      </c>
      <c r="E197" s="18">
        <f>(23500*$N$3)</f>
        <v>110.32863849765259</v>
      </c>
    </row>
    <row r="198" spans="2:5">
      <c r="B198" s="34">
        <v>44958</v>
      </c>
      <c r="C198" s="18">
        <v>87.319999999999894</v>
      </c>
      <c r="D198" s="18">
        <f>(0.6345*$M$3)</f>
        <v>32.359499999999997</v>
      </c>
      <c r="E198" s="18">
        <f>(23400*$N$3)</f>
        <v>109.85915492957747</v>
      </c>
    </row>
    <row r="199" spans="2:5">
      <c r="B199" s="34">
        <v>44960</v>
      </c>
      <c r="C199" s="18">
        <v>88.52</v>
      </c>
      <c r="D199" s="18">
        <f>(0.647*$M$3)</f>
        <v>32.997</v>
      </c>
      <c r="E199" s="18">
        <f>(23400*$N$3)</f>
        <v>109.85915492957747</v>
      </c>
    </row>
    <row r="200" spans="2:5">
      <c r="B200" s="34">
        <v>44963</v>
      </c>
      <c r="C200" s="18">
        <v>83.43</v>
      </c>
      <c r="D200" s="18">
        <f>(0.5961*$M$3)</f>
        <v>30.4011</v>
      </c>
      <c r="E200" s="18">
        <f>(22981.9589454636*$N$3)</f>
        <v>107.89652087072113</v>
      </c>
    </row>
    <row r="201" spans="2:5">
      <c r="B201" s="34">
        <v>44965</v>
      </c>
      <c r="C201" s="18">
        <v>84.14</v>
      </c>
      <c r="D201" s="18">
        <f>(0.5989*$M$3)</f>
        <v>30.543900000000001</v>
      </c>
      <c r="E201" s="18">
        <f>(23185.9589454636*$N$3)</f>
        <v>108.85426734959437</v>
      </c>
    </row>
    <row r="202" spans="2:5">
      <c r="B202" s="34">
        <v>44967</v>
      </c>
      <c r="C202" s="18">
        <v>79.290000000000006</v>
      </c>
      <c r="D202" s="18">
        <f>(0.563*$M$3)</f>
        <v>28.712999999999997</v>
      </c>
      <c r="E202" s="18">
        <f>(21850.9589454636*$N$3)</f>
        <v>102.58666171579155</v>
      </c>
    </row>
    <row r="203" spans="2:5">
      <c r="B203" s="34">
        <v>44969</v>
      </c>
      <c r="C203" s="18">
        <v>79.7</v>
      </c>
      <c r="D203" s="18">
        <f>(0.5686*$M$3)</f>
        <v>28.9986</v>
      </c>
      <c r="E203" s="18">
        <f>(21770.9589454636*$N$3)</f>
        <v>102.21107486133145</v>
      </c>
    </row>
    <row r="204" spans="2:5">
      <c r="B204" s="34">
        <v>44971</v>
      </c>
      <c r="C204" s="18">
        <v>78.540000000000006</v>
      </c>
      <c r="D204" s="18">
        <f>(0.5534*$M$3)</f>
        <v>28.223400000000002</v>
      </c>
      <c r="E204" s="18">
        <f>(21849.1075186578*$N$3)</f>
        <v>102.57796957116338</v>
      </c>
    </row>
    <row r="205" spans="2:5">
      <c r="B205" s="34">
        <v>44972</v>
      </c>
      <c r="C205" s="18">
        <v>86.18</v>
      </c>
      <c r="D205" s="18">
        <f>(0.6*$M$3)</f>
        <v>30.599999999999998</v>
      </c>
      <c r="E205" s="18">
        <f>(24205.7173552454*$N$3)</f>
        <v>113.64186551758404</v>
      </c>
    </row>
    <row r="206" spans="2:5">
      <c r="B206" s="34">
        <v>44973</v>
      </c>
      <c r="C206" s="18">
        <v>87.81</v>
      </c>
      <c r="D206" s="18">
        <f>(0.6165*$M$3)</f>
        <v>31.441500000000001</v>
      </c>
      <c r="E206" s="18">
        <f>(24712.350600352*$N$3)</f>
        <v>116.02042535376526</v>
      </c>
    </row>
    <row r="207" spans="2:5">
      <c r="B207" s="34">
        <v>44978</v>
      </c>
      <c r="C207" s="18">
        <v>87.89</v>
      </c>
      <c r="D207" s="18">
        <f>(0.615*$M$3)</f>
        <v>31.364999999999998</v>
      </c>
      <c r="E207" s="18">
        <f>(24712.350600352*$N$3)</f>
        <v>116.02042535376526</v>
      </c>
    </row>
    <row r="208" spans="2:5">
      <c r="B208" s="34">
        <v>44980</v>
      </c>
      <c r="C208" s="18">
        <v>86.51</v>
      </c>
      <c r="D208" s="18">
        <f>(0.6055*$M$3)</f>
        <v>30.880500000000001</v>
      </c>
      <c r="E208" s="18">
        <f>(24250.350600352*$N$3)</f>
        <v>113.85141126925822</v>
      </c>
    </row>
    <row r="209" spans="2:5">
      <c r="B209" s="34">
        <v>44985</v>
      </c>
      <c r="C209" s="18">
        <v>82.41</v>
      </c>
      <c r="D209" s="18">
        <f>(0.573*$M$3)</f>
        <v>29.222999999999999</v>
      </c>
      <c r="E209" s="18">
        <f>(23370.350600352*$N$3)</f>
        <v>109.7199558701972</v>
      </c>
    </row>
    <row r="210" spans="2:5">
      <c r="B210" s="34">
        <v>44990</v>
      </c>
      <c r="C210" s="18">
        <v>76.27</v>
      </c>
      <c r="D210" s="18">
        <f>(0.5158*$M$3)</f>
        <v>26.305800000000001</v>
      </c>
      <c r="E210" s="18">
        <f>(22400*$N$3)</f>
        <v>105.16431924882629</v>
      </c>
    </row>
    <row r="211" spans="2:5">
      <c r="B211" s="34">
        <v>44993</v>
      </c>
      <c r="C211" s="18">
        <v>74.23</v>
      </c>
      <c r="D211" s="18">
        <f>(0.5026*$M$3)</f>
        <v>25.632600000000004</v>
      </c>
      <c r="E211" s="18">
        <f>(22100*$N$3)</f>
        <v>103.75586854460094</v>
      </c>
    </row>
    <row r="212" spans="2:5">
      <c r="B212" s="34">
        <v>44998</v>
      </c>
      <c r="C212" s="18">
        <v>74.02</v>
      </c>
      <c r="D212" s="18">
        <f>(0.5024*$M$3)</f>
        <v>25.622399999999999</v>
      </c>
      <c r="E212" s="18">
        <f>(22100*$N$3)</f>
        <v>103.75586854460094</v>
      </c>
    </row>
    <row r="213" spans="2:5">
      <c r="B213" s="34">
        <v>44999</v>
      </c>
      <c r="C213" s="18">
        <v>81.260000000000005</v>
      </c>
      <c r="D213" s="18">
        <f>(0.542*$M$3)</f>
        <v>27.642000000000003</v>
      </c>
      <c r="E213" s="18">
        <f>(24450*$N$3)</f>
        <v>114.78873239436621</v>
      </c>
    </row>
    <row r="214" spans="2:5">
      <c r="B214" s="34">
        <v>45005</v>
      </c>
      <c r="C214" s="18">
        <v>88.569999999999894</v>
      </c>
      <c r="D214" s="18">
        <f>(0.58*$M$3)</f>
        <v>29.58</v>
      </c>
      <c r="E214" s="18">
        <f>(27300*$N$3)</f>
        <v>128.16901408450704</v>
      </c>
    </row>
    <row r="215" spans="2:5">
      <c r="B215" s="34">
        <v>45007</v>
      </c>
      <c r="C215" s="18">
        <v>89.39</v>
      </c>
      <c r="D215" s="18">
        <f>(0.58*$M$3)</f>
        <v>29.58</v>
      </c>
      <c r="E215" s="18">
        <f>(28130*$N$3)</f>
        <v>132.06572769953053</v>
      </c>
    </row>
    <row r="216" spans="2:5">
      <c r="B216" s="34">
        <v>45011</v>
      </c>
      <c r="C216" s="18">
        <v>85.04</v>
      </c>
      <c r="D216" s="18">
        <f>(0.548*$M$3)</f>
        <v>27.948</v>
      </c>
      <c r="E216" s="18">
        <f>(27463.8330404678*$N$3)</f>
        <v>128.93818328858123</v>
      </c>
    </row>
    <row r="217" spans="2:5">
      <c r="B217" s="34">
        <v>45015</v>
      </c>
      <c r="C217" s="18">
        <v>86.569999999999894</v>
      </c>
      <c r="D217" s="18">
        <f>(0.5537*$M$3)</f>
        <v>28.238699999999998</v>
      </c>
      <c r="E217" s="18">
        <f>(28700.8330404678*$N$3)</f>
        <v>134.74569502567044</v>
      </c>
    </row>
    <row r="218" spans="2:5">
      <c r="B218" s="34">
        <v>45020</v>
      </c>
      <c r="C218" s="18">
        <v>82.84</v>
      </c>
      <c r="D218" s="18">
        <f>(0.5168*$M$3)</f>
        <v>26.356800000000003</v>
      </c>
      <c r="E218" s="18">
        <f>(27893.9734182823*$N$3)</f>
        <v>130.95762168207654</v>
      </c>
    </row>
    <row r="219" spans="2:5">
      <c r="B219" s="34">
        <v>45026</v>
      </c>
      <c r="C219" s="18">
        <v>83.18</v>
      </c>
      <c r="D219" s="18">
        <f>(0.5051*$M$3)</f>
        <v>25.760100000000001</v>
      </c>
      <c r="E219" s="18">
        <f>(29206.9474217049*$N$3)</f>
        <v>137.12181888124366</v>
      </c>
    </row>
    <row r="220" spans="2:5">
      <c r="B220" s="34">
        <v>45029</v>
      </c>
      <c r="C220" s="18">
        <v>85.08</v>
      </c>
      <c r="D220" s="18">
        <f>(0.5244*$M$3)</f>
        <v>26.744399999999999</v>
      </c>
      <c r="E220" s="18">
        <f>(30353.3848252628*$N$3)</f>
        <v>142.50415410921502</v>
      </c>
    </row>
    <row r="221" spans="2:5">
      <c r="B221" s="34">
        <v>45033</v>
      </c>
      <c r="C221" s="18">
        <v>86.19</v>
      </c>
      <c r="D221" s="18">
        <f>(0.5251*$M$3)</f>
        <v>26.780100000000001</v>
      </c>
      <c r="E221" s="18">
        <f>(30364.3848252628*$N$3)</f>
        <v>142.55579730170331</v>
      </c>
    </row>
    <row r="222" spans="2:5">
      <c r="B222" s="34">
        <v>45043</v>
      </c>
      <c r="C222" s="18">
        <v>79.84</v>
      </c>
      <c r="D222" s="18">
        <f>(0.4765*$M$3)</f>
        <v>24.301499999999997</v>
      </c>
      <c r="E222" s="18">
        <f>(28950*$N$3)</f>
        <v>135.91549295774649</v>
      </c>
    </row>
    <row r="223" spans="2:5">
      <c r="B223" s="34">
        <v>45061</v>
      </c>
      <c r="C223" s="18">
        <v>66.19</v>
      </c>
      <c r="D223" s="18">
        <f>(0.3685*$M$3)</f>
        <v>18.793499999999998</v>
      </c>
      <c r="E223" s="18">
        <f>(27366*$N$3)</f>
        <v>128.47887323943661</v>
      </c>
    </row>
    <row r="224" spans="2:5">
      <c r="B224" s="34">
        <v>45068</v>
      </c>
      <c r="C224" s="18">
        <v>64.45</v>
      </c>
      <c r="D224" s="18">
        <f>(0.3552*$M$3)</f>
        <v>18.115200000000002</v>
      </c>
      <c r="E224" s="18">
        <f>(26800*$N$3)</f>
        <v>125.82159624413146</v>
      </c>
    </row>
    <row r="225" spans="2:5">
      <c r="B225" s="34">
        <v>45073</v>
      </c>
      <c r="C225" s="18">
        <v>63.78</v>
      </c>
      <c r="D225" s="18">
        <f>(0.35*$M$3)</f>
        <v>17.849999999999998</v>
      </c>
      <c r="E225" s="18">
        <f>(26600*$N$3)</f>
        <v>124.88262910798122</v>
      </c>
    </row>
    <row r="226" spans="2:5">
      <c r="B226" s="34">
        <v>45075</v>
      </c>
      <c r="C226" s="18">
        <v>66.209999999999994</v>
      </c>
      <c r="D226" s="18">
        <f>(0.361*$M$3)</f>
        <v>18.410999999999998</v>
      </c>
      <c r="E226" s="18">
        <f>(27900*$N$3)</f>
        <v>130.98591549295776</v>
      </c>
    </row>
    <row r="227" spans="2:5">
      <c r="B227" s="34">
        <v>45083</v>
      </c>
      <c r="C227" s="18">
        <v>61.33</v>
      </c>
      <c r="D227" s="18">
        <f>(0.3345*$M$3)</f>
        <v>17.0595</v>
      </c>
      <c r="E227" s="18">
        <f>(25918.0755732781*$N$3)</f>
        <v>121.68110597783146</v>
      </c>
    </row>
    <row r="228" spans="2:5">
      <c r="B228" s="34">
        <v>45086</v>
      </c>
      <c r="C228" s="18">
        <v>62.31</v>
      </c>
      <c r="D228" s="18">
        <f>(0.336*$M$3)</f>
        <v>17.136000000000003</v>
      </c>
      <c r="E228" s="18">
        <f>(26640.0755732781*$N$3)</f>
        <v>125.0707773393338</v>
      </c>
    </row>
    <row r="229" spans="2:5">
      <c r="B229" s="34">
        <v>45093</v>
      </c>
      <c r="C229" s="18">
        <v>59.4</v>
      </c>
      <c r="D229" s="18">
        <f>(0.3172*$M$3)</f>
        <v>16.177199999999999</v>
      </c>
      <c r="E229" s="18">
        <f>(25563*$N$3)</f>
        <v>120.01408450704226</v>
      </c>
    </row>
    <row r="230" spans="2:5">
      <c r="B230" s="34">
        <v>45107</v>
      </c>
      <c r="C230" s="18">
        <v>68.67</v>
      </c>
      <c r="D230" s="18">
        <f>(0.3607*$M$3)</f>
        <v>18.395700000000001</v>
      </c>
      <c r="E230" s="18">
        <f>(30690.1493063789*$N$3)</f>
        <v>144.08520801116853</v>
      </c>
    </row>
    <row r="231" spans="2:5">
      <c r="B231" s="34">
        <v>45110</v>
      </c>
      <c r="C231" s="18">
        <v>69.150000000000006</v>
      </c>
      <c r="D231" s="18">
        <f>(0.3625*$M$3)</f>
        <v>18.487500000000001</v>
      </c>
      <c r="E231" s="18">
        <f>(30640.1493063789*$N$3)</f>
        <v>143.85046622713099</v>
      </c>
    </row>
    <row r="232" spans="2:5">
      <c r="B232" s="34">
        <v>45131</v>
      </c>
      <c r="C232" s="18">
        <v>64.760000000000005</v>
      </c>
      <c r="D232" s="18">
        <f>(0.329*$M$3)</f>
        <v>16.779</v>
      </c>
      <c r="E232" s="18">
        <f>(29748.1607239039*$N$3)</f>
        <v>139.6627264033047</v>
      </c>
    </row>
    <row r="233" spans="2:5">
      <c r="B233" s="34">
        <v>45263</v>
      </c>
      <c r="C233" s="18">
        <v>61.82</v>
      </c>
      <c r="D233" s="18">
        <f>(0.2491*$M$3)</f>
        <v>12.704099999999999</v>
      </c>
      <c r="E233" s="18">
        <f>(39400.1607239039*$N$3)</f>
        <v>184.97728039391504</v>
      </c>
    </row>
    <row r="234" spans="2:5">
      <c r="B234" s="34">
        <v>45266</v>
      </c>
      <c r="C234" s="18">
        <v>62.55</v>
      </c>
      <c r="D234" s="18">
        <f>(0.2418*$M$3)</f>
        <v>12.331799999999999</v>
      </c>
      <c r="E234" s="18">
        <f>(44800.1607239039*$N$3)</f>
        <v>210.32939306997136</v>
      </c>
    </row>
    <row r="235" spans="2:5">
      <c r="B235" s="34">
        <v>45312</v>
      </c>
      <c r="C235" s="18">
        <v>43.31</v>
      </c>
      <c r="D235" s="18">
        <f>(0.1357*$M$3)</f>
        <v>6.9206999999999992</v>
      </c>
      <c r="E235" s="18">
        <f>(41717.9624722911*$N$3)</f>
        <v>195.85897874315071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2:U26"/>
  <sheetViews>
    <sheetView workbookViewId="0">
      <selection activeCell="O30" sqref="O30"/>
    </sheetView>
  </sheetViews>
  <sheetFormatPr baseColWidth="10" defaultColWidth="9.140625" defaultRowHeight="15"/>
  <cols>
    <col min="1" max="3" width="9.140625" style="25" customWidth="1"/>
    <col min="4" max="4" width="10.28515625" style="25" bestFit="1" customWidth="1"/>
    <col min="5" max="8" width="9.140625" style="25" customWidth="1"/>
    <col min="9" max="9" width="12.42578125" style="25" bestFit="1" customWidth="1"/>
    <col min="10" max="13" width="9.140625" style="25" customWidth="1"/>
    <col min="14" max="14" width="10.140625" style="25" bestFit="1" customWidth="1"/>
    <col min="15" max="15" width="11.28515625" style="25" bestFit="1" customWidth="1"/>
    <col min="16" max="393" width="9.140625" style="25" customWidth="1"/>
    <col min="394" max="16384" width="9.140625" style="25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7">
        <v>0.8248027068014695</v>
      </c>
      <c r="M3" t="s">
        <v>4</v>
      </c>
      <c r="N3" s="37">
        <f>(INDEX(N5:N22,MATCH(MAX(O6:O8),O5:O22,0))/0.85)</f>
        <v>2.223529411764706</v>
      </c>
      <c r="O3" s="27">
        <f>(MAX(O6:O8)*0.75)</f>
        <v>0.41447051190476192</v>
      </c>
      <c r="P3" s="26">
        <f>(O3*N3)</f>
        <v>0.92158737352941178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3.1368570088162144</v>
      </c>
      <c r="K4" s="4">
        <f>(J4/D14-1)</f>
        <v>-23.553562182374247</v>
      </c>
      <c r="R4" t="s">
        <v>5</v>
      </c>
      <c r="S4" t="s">
        <v>6</v>
      </c>
      <c r="T4" t="s">
        <v>7</v>
      </c>
    </row>
    <row r="5" spans="2:21">
      <c r="B5" s="37">
        <v>9.4096547000000008</v>
      </c>
      <c r="C5" s="26">
        <f>(D5/B5)</f>
        <v>0.23380241572520191</v>
      </c>
      <c r="D5" s="26">
        <v>2.2000000000000002</v>
      </c>
      <c r="N5" t="s">
        <v>30</v>
      </c>
      <c r="O5" t="s">
        <v>1</v>
      </c>
      <c r="P5" t="s">
        <v>2</v>
      </c>
      <c r="R5" s="37">
        <f>(B5)</f>
        <v>9.4096547000000008</v>
      </c>
      <c r="S5" s="26">
        <f>(T5/R5)</f>
        <v>0.23380241572520191</v>
      </c>
      <c r="T5" s="26">
        <f>D5</f>
        <v>2.2000000000000002</v>
      </c>
    </row>
    <row r="6" spans="2:21">
      <c r="B6" s="49">
        <v>7.6505719999999999E-2</v>
      </c>
      <c r="C6" s="29">
        <v>0</v>
      </c>
      <c r="D6" s="29">
        <f>(B6*C6)</f>
        <v>0</v>
      </c>
      <c r="E6" s="26">
        <f>(B6*J3)</f>
        <v>6.3102124941795318E-2</v>
      </c>
      <c r="M6" t="s">
        <v>10</v>
      </c>
      <c r="N6" s="37">
        <f>-B7/2</f>
        <v>1.8965000000000001</v>
      </c>
      <c r="O6" s="26">
        <v>0.3</v>
      </c>
      <c r="P6" s="26">
        <f>(O6*N6)</f>
        <v>0.56894999999999996</v>
      </c>
      <c r="Q6" s="27" t="s">
        <v>11</v>
      </c>
      <c r="R6" s="49">
        <f>(B6)</f>
        <v>7.6505719999999999E-2</v>
      </c>
      <c r="S6" s="29">
        <v>0</v>
      </c>
      <c r="T6" s="29">
        <f>(D6)</f>
        <v>0</v>
      </c>
      <c r="U6" s="26">
        <f>(E6)</f>
        <v>6.3102124941795318E-2</v>
      </c>
    </row>
    <row r="7" spans="2:21">
      <c r="B7" s="37">
        <v>-3.7930000000000001</v>
      </c>
      <c r="C7" s="26">
        <f>D7/B7</f>
        <v>0.3413179752175059</v>
      </c>
      <c r="D7" s="26">
        <f>-1.29461908</f>
        <v>-1.2946190799999999</v>
      </c>
      <c r="N7" s="37">
        <f>-B7/2</f>
        <v>1.8965000000000001</v>
      </c>
      <c r="O7" s="26">
        <v>0.37</v>
      </c>
      <c r="P7" s="26">
        <f>(O7*N7)</f>
        <v>0.70170500000000002</v>
      </c>
      <c r="Q7" s="27" t="s">
        <v>11</v>
      </c>
      <c r="R7" s="37"/>
      <c r="S7" s="26"/>
      <c r="T7" s="26"/>
      <c r="U7" s="27"/>
    </row>
    <row r="8" spans="2:21">
      <c r="B8" s="37">
        <v>-1.89</v>
      </c>
      <c r="C8" s="26">
        <f>D8/B8</f>
        <v>0.55262734920634926</v>
      </c>
      <c r="D8" s="26">
        <v>-1.04446569</v>
      </c>
      <c r="N8" s="37">
        <f>-B8</f>
        <v>1.89</v>
      </c>
      <c r="O8" s="26">
        <f>P8/N8</f>
        <v>0.55262734920634926</v>
      </c>
      <c r="P8" s="26">
        <f>-D8</f>
        <v>1.04446569</v>
      </c>
      <c r="Q8" s="27" t="s">
        <v>11</v>
      </c>
      <c r="R8" s="37"/>
      <c r="S8" s="26"/>
      <c r="T8" s="26"/>
    </row>
    <row r="9" spans="2:21">
      <c r="B9" s="37"/>
      <c r="C9" s="26"/>
      <c r="D9" s="26"/>
      <c r="N9" s="37">
        <f>4*($B$14-B7-B8)/5+B7+B8</f>
        <v>1.9059283360000003</v>
      </c>
      <c r="O9" s="26">
        <f>($C$5*[1]Params!K11)</f>
        <v>1.1690120786260096</v>
      </c>
      <c r="P9" s="26">
        <f>(O9*N9)</f>
        <v>2.2280532457795723</v>
      </c>
      <c r="Q9" s="27"/>
    </row>
    <row r="10" spans="2:21">
      <c r="B10" s="37"/>
      <c r="C10" s="26"/>
      <c r="D10" s="26"/>
    </row>
    <row r="12" spans="2:21">
      <c r="P12" s="26">
        <f>(SUM(P6:P9))</f>
        <v>4.5431739357795724</v>
      </c>
    </row>
    <row r="13" spans="2:21">
      <c r="F13" t="s">
        <v>12</v>
      </c>
      <c r="G13" s="26">
        <f>(D14/B14)</f>
        <v>-3.6570839680751546E-2</v>
      </c>
    </row>
    <row r="14" spans="2:21">
      <c r="B14" s="37">
        <f>(SUM(B5:B13))</f>
        <v>3.8031604200000011</v>
      </c>
      <c r="D14" s="26">
        <f>(SUM(D5:D13))</f>
        <v>-0.13908476999999975</v>
      </c>
    </row>
    <row r="17" spans="11:20">
      <c r="N17" s="37"/>
      <c r="R17" s="37">
        <f>(SUM(R5:R16))</f>
        <v>9.4861604200000009</v>
      </c>
      <c r="T17" s="26">
        <f>(SUM(T5:T16))</f>
        <v>2.2000000000000002</v>
      </c>
    </row>
    <row r="20" spans="11:20">
      <c r="K20" s="27"/>
    </row>
    <row r="26" spans="11:20">
      <c r="O26" s="56"/>
    </row>
  </sheetData>
  <conditionalFormatting sqref="C5">
    <cfRule type="cellIs" dxfId="83" priority="13" operator="lessThan">
      <formula>$J$3</formula>
    </cfRule>
    <cfRule type="cellIs" dxfId="82" priority="14" operator="greaterThan">
      <formula>$J$3</formula>
    </cfRule>
  </conditionalFormatting>
  <conditionalFormatting sqref="O9">
    <cfRule type="cellIs" dxfId="81" priority="9" operator="lessThan">
      <formula>$J$3</formula>
    </cfRule>
    <cfRule type="cellIs" dxfId="80" priority="10" operator="greaterThan">
      <formula>$J$3</formula>
    </cfRule>
  </conditionalFormatting>
  <conditionalFormatting sqref="S5">
    <cfRule type="cellIs" dxfId="79" priority="7" operator="lessThan">
      <formula>$J$3</formula>
    </cfRule>
    <cfRule type="cellIs" dxfId="78" priority="8" operator="greaterThan">
      <formula>$J$3</formula>
    </cfRule>
  </conditionalFormatting>
  <conditionalFormatting sqref="G13">
    <cfRule type="cellIs" dxfId="77" priority="3" operator="lessThan">
      <formula>$J$3</formula>
    </cfRule>
    <cfRule type="cellIs" dxfId="76" priority="4" operator="greaterThan">
      <formula>$J$3</formula>
    </cfRule>
  </conditionalFormatting>
  <conditionalFormatting sqref="O3">
    <cfRule type="cellIs" dxfId="75" priority="1" operator="greaterThan">
      <formula>$J$3</formula>
    </cfRule>
    <cfRule type="cellIs" dxfId="74" priority="2" operator="lessThan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X29" sqref="X29"/>
    </sheetView>
  </sheetViews>
  <sheetFormatPr baseColWidth="10" defaultColWidth="9.140625" defaultRowHeight="15"/>
  <cols>
    <col min="3" max="3" width="12" style="25" bestFit="1" customWidth="1"/>
    <col min="4" max="4" width="10.28515625" style="25" bestFit="1" customWidth="1"/>
    <col min="7" max="7" width="13" style="25" bestFit="1" customWidth="1"/>
    <col min="9" max="9" width="12.42578125" style="25" bestFit="1" customWidth="1"/>
    <col min="10" max="10" width="12" style="25" bestFit="1" customWidth="1"/>
    <col min="14" max="14" width="10.140625" style="25" bestFit="1" customWidth="1"/>
    <col min="15" max="15" width="12" style="25" bestFit="1" customWidth="1"/>
  </cols>
  <sheetData>
    <row r="3" spans="2:16">
      <c r="I3" t="s">
        <v>3</v>
      </c>
      <c r="J3" s="57">
        <v>9.6442513781264016E-6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(B13*J3)</f>
        <v>14.704124837542842</v>
      </c>
      <c r="K4" s="4">
        <f>(J4/D13-1)</f>
        <v>-2.2488111103092456E-2</v>
      </c>
    </row>
    <row r="5" spans="2:16">
      <c r="B5" s="21">
        <v>439531.68</v>
      </c>
      <c r="C5" s="57">
        <f>(D5/B5)</f>
        <v>1.1443998757950737E-5</v>
      </c>
      <c r="D5" s="26">
        <v>5.03</v>
      </c>
      <c r="E5" s="26"/>
      <c r="F5" s="26"/>
      <c r="G5" s="26"/>
      <c r="N5" t="s">
        <v>30</v>
      </c>
      <c r="O5" t="s">
        <v>1</v>
      </c>
      <c r="P5" t="s">
        <v>2</v>
      </c>
    </row>
    <row r="6" spans="2:16">
      <c r="B6" s="22">
        <v>279.66000000000003</v>
      </c>
      <c r="C6" s="29">
        <v>0</v>
      </c>
      <c r="D6" s="30">
        <f>(B6*C6)</f>
        <v>0</v>
      </c>
      <c r="E6" s="26">
        <f>(B6*J3)</f>
        <v>2.6971113404068298E-3</v>
      </c>
      <c r="F6" s="26"/>
      <c r="G6" s="26"/>
      <c r="M6" t="s">
        <v>10</v>
      </c>
      <c r="N6" s="21">
        <f>($B$13/5)</f>
        <v>304930.35199999996</v>
      </c>
      <c r="O6" s="57">
        <f>($C$5*[1]Params!K8)</f>
        <v>1.4877198385335959E-5</v>
      </c>
      <c r="P6" s="26">
        <f>(O6*N6)</f>
        <v>4.5365093404143249</v>
      </c>
    </row>
    <row r="7" spans="2:16">
      <c r="B7" s="21">
        <v>1084840.42</v>
      </c>
      <c r="C7" s="57">
        <f>(D7/B7)</f>
        <v>9.2293758744719342E-6</v>
      </c>
      <c r="D7" s="26">
        <v>10.0124</v>
      </c>
      <c r="E7" s="26" t="s">
        <v>86</v>
      </c>
      <c r="F7" s="26"/>
      <c r="G7" s="26"/>
      <c r="N7" s="21">
        <f>($B$13/5)</f>
        <v>304930.35199999996</v>
      </c>
      <c r="O7" s="57">
        <f>($C$5*[1]Params!K9)</f>
        <v>1.8310398012721179E-5</v>
      </c>
      <c r="P7" s="26">
        <f>(O7*N7)</f>
        <v>5.5833961112791686</v>
      </c>
    </row>
    <row r="8" spans="2:16">
      <c r="C8" s="26"/>
      <c r="D8" s="26"/>
      <c r="E8" s="26"/>
      <c r="F8" s="26"/>
      <c r="G8" s="26"/>
      <c r="N8" s="21">
        <f>($B$13/5)</f>
        <v>304930.35199999996</v>
      </c>
      <c r="O8" s="57">
        <f>($C$5*[1]Params!K10)</f>
        <v>2.5176797267491623E-5</v>
      </c>
      <c r="P8" s="26">
        <f>(O8*N8)</f>
        <v>7.6771696530088578</v>
      </c>
    </row>
    <row r="9" spans="2:16">
      <c r="C9" s="26"/>
      <c r="D9" s="26"/>
      <c r="E9" s="26"/>
      <c r="F9" s="26"/>
      <c r="G9" s="26"/>
      <c r="N9" s="21">
        <f>($B$13/5)</f>
        <v>304930.35199999996</v>
      </c>
      <c r="O9" s="57">
        <f>($C$5*[1]Params!K11)</f>
        <v>5.7219993789753684E-5</v>
      </c>
      <c r="P9" s="26">
        <f>(O9*N9)</f>
        <v>17.448112847747403</v>
      </c>
    </row>
    <row r="10" spans="2:16">
      <c r="C10" s="26"/>
      <c r="D10" s="26"/>
      <c r="E10" s="26"/>
      <c r="F10" s="26"/>
      <c r="G10" s="26"/>
      <c r="O10" s="26"/>
      <c r="P10" s="26"/>
    </row>
    <row r="11" spans="2:16">
      <c r="C11" s="26"/>
      <c r="D11" s="26"/>
      <c r="E11" s="26"/>
      <c r="F11" s="26"/>
      <c r="G11" s="26"/>
      <c r="O11" s="26"/>
      <c r="P11" s="26">
        <f>(SUM(P6:P9))</f>
        <v>35.245187952449754</v>
      </c>
    </row>
    <row r="12" spans="2:16">
      <c r="C12" s="26"/>
      <c r="D12" s="26"/>
      <c r="E12" s="26"/>
      <c r="F12" s="26" t="s">
        <v>12</v>
      </c>
      <c r="G12" s="58">
        <f>(D13/B13)</f>
        <v>9.8661218218119545E-6</v>
      </c>
    </row>
    <row r="13" spans="2:16">
      <c r="B13">
        <f>(SUM(B5:B12))</f>
        <v>1524651.7599999998</v>
      </c>
      <c r="C13" s="26"/>
      <c r="D13" s="26">
        <f>(SUM(D5:D12))</f>
        <v>15.042400000000001</v>
      </c>
      <c r="E13" s="26"/>
      <c r="F13" s="26"/>
      <c r="G13" s="26"/>
    </row>
  </sheetData>
  <conditionalFormatting sqref="C5">
    <cfRule type="cellIs" dxfId="73" priority="15" operator="lessThan">
      <formula>$J$3</formula>
    </cfRule>
    <cfRule type="cellIs" dxfId="72" priority="16" operator="greaterThan">
      <formula>$J$3</formula>
    </cfRule>
  </conditionalFormatting>
  <conditionalFormatting sqref="J3">
    <cfRule type="cellIs" dxfId="71" priority="13" operator="lessThan">
      <formula>$J$3</formula>
    </cfRule>
    <cfRule type="cellIs" dxfId="70" priority="14" operator="greaterThan">
      <formula>$J$3</formula>
    </cfRule>
  </conditionalFormatting>
  <conditionalFormatting sqref="O6:O9">
    <cfRule type="cellIs" dxfId="69" priority="11" operator="lessThan">
      <formula>$J$3</formula>
    </cfRule>
    <cfRule type="cellIs" dxfId="68" priority="12" operator="greaterThan">
      <formula>$J$3</formula>
    </cfRule>
    <cfRule type="cellIs" dxfId="67" priority="9" operator="lessThan">
      <formula>$J$3</formula>
    </cfRule>
    <cfRule type="cellIs" dxfId="66" priority="10" operator="greaterThan">
      <formula>$J$3</formula>
    </cfRule>
    <cfRule type="cellIs" dxfId="65" priority="7" operator="lessThan">
      <formula>$J$3</formula>
    </cfRule>
    <cfRule type="cellIs" dxfId="64" priority="8" operator="greaterThan">
      <formula>$J$3</formula>
    </cfRule>
  </conditionalFormatting>
  <conditionalFormatting sqref="C7">
    <cfRule type="cellIs" dxfId="63" priority="5" operator="lessThan">
      <formula>$J$3</formula>
    </cfRule>
    <cfRule type="cellIs" dxfId="62" priority="6" operator="greaterThan">
      <formula>$J$3</formula>
    </cfRule>
    <cfRule type="cellIs" dxfId="61" priority="1" operator="lessThan">
      <formula>$J$3</formula>
    </cfRule>
    <cfRule type="cellIs" dxfId="60" priority="2" operator="greaterThan">
      <formula>$J$3</formula>
    </cfRule>
  </conditionalFormatting>
  <conditionalFormatting sqref="G12">
    <cfRule type="cellIs" dxfId="59" priority="3" operator="lessThan">
      <formula>$J$3</formula>
    </cfRule>
    <cfRule type="cellIs" dxfId="58" priority="4" operator="greater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Q11"/>
  <sheetViews>
    <sheetView workbookViewId="0">
      <selection activeCell="N7" sqref="N7:N9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0" max="10" width="10" style="25" bestFit="1" customWidth="1"/>
    <col min="14" max="14" width="10.140625" style="25" bestFit="1" customWidth="1"/>
    <col min="15" max="15" width="11.28515625" style="25" bestFit="1" customWidth="1"/>
  </cols>
  <sheetData>
    <row r="2" spans="2:17">
      <c r="N2" t="s">
        <v>0</v>
      </c>
      <c r="O2" t="s">
        <v>1</v>
      </c>
      <c r="P2" t="s">
        <v>2</v>
      </c>
    </row>
    <row r="3" spans="2:17">
      <c r="I3" t="s">
        <v>3</v>
      </c>
      <c r="J3" s="50">
        <v>6.7015648928749026E-3</v>
      </c>
      <c r="M3" t="s">
        <v>4</v>
      </c>
      <c r="N3" s="23">
        <f>(INDEX(N5:N26,MATCH(MAX(O6),O5:O26,0))/0.85)</f>
        <v>141.03529411764706</v>
      </c>
      <c r="O3" s="56">
        <f>(MAX(O6)*0.75)</f>
        <v>4.8798798798798801E-3</v>
      </c>
      <c r="P3" s="26">
        <f>(O3*N3)</f>
        <v>0.68823529411764706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6">
        <f>(B10*J3)</f>
        <v>3.2653687209331337</v>
      </c>
      <c r="K4" s="4">
        <f>(J4/D10-1)</f>
        <v>0.61117199202899575</v>
      </c>
    </row>
    <row r="5" spans="2:17">
      <c r="B5">
        <v>599.4</v>
      </c>
      <c r="C5" s="47">
        <f>(D5/B5)</f>
        <v>5.005005005005005E-3</v>
      </c>
      <c r="D5" s="26">
        <v>3</v>
      </c>
      <c r="E5" t="s">
        <v>78</v>
      </c>
      <c r="N5" t="s">
        <v>30</v>
      </c>
      <c r="O5" t="s">
        <v>1</v>
      </c>
      <c r="P5" t="s">
        <v>2</v>
      </c>
    </row>
    <row r="6" spans="2:17">
      <c r="B6">
        <v>-112.14534036000001</v>
      </c>
      <c r="C6" s="26">
        <f>D6/B6</f>
        <v>8.6788804320857473E-3</v>
      </c>
      <c r="D6" s="26">
        <f>-0.973296</f>
        <v>-0.97329600000000005</v>
      </c>
      <c r="M6" t="s">
        <v>10</v>
      </c>
      <c r="N6" s="18">
        <f>($B$5/5)</f>
        <v>119.88</v>
      </c>
      <c r="O6" s="54">
        <f>($C$5*[1]Params!K8)</f>
        <v>6.5065065065065065E-3</v>
      </c>
      <c r="P6" s="26">
        <f>(O6*N6)</f>
        <v>0.77999999999999992</v>
      </c>
      <c r="Q6" t="s">
        <v>11</v>
      </c>
    </row>
    <row r="7" spans="2:17">
      <c r="C7" s="26"/>
      <c r="D7" s="26"/>
      <c r="N7" s="37">
        <f>$B$10/4</f>
        <v>121.81366491</v>
      </c>
      <c r="O7" s="54">
        <f>($C$5*[1]Params!K9)</f>
        <v>8.0080080080080079E-3</v>
      </c>
      <c r="P7" s="26">
        <f>(O7*N7)</f>
        <v>0.97548480408408411</v>
      </c>
    </row>
    <row r="8" spans="2:17">
      <c r="C8" s="26"/>
      <c r="D8" s="26"/>
      <c r="N8" s="37">
        <f>$B$10/4</f>
        <v>121.81366491</v>
      </c>
      <c r="O8" s="54">
        <f>($C$5*[1]Params!K10)</f>
        <v>1.1011011011011013E-2</v>
      </c>
      <c r="P8" s="26">
        <f>(O8*N8)</f>
        <v>1.3412916056156159</v>
      </c>
    </row>
    <row r="9" spans="2:17">
      <c r="C9" s="26"/>
      <c r="D9" s="26"/>
      <c r="F9" t="s">
        <v>12</v>
      </c>
      <c r="G9" s="26">
        <f>(D10/B10)</f>
        <v>4.1594348251023329E-3</v>
      </c>
      <c r="N9" s="37">
        <f>$B$10/4</f>
        <v>121.81366491</v>
      </c>
      <c r="O9" s="54">
        <f>($C$5*[1]Params!K11)</f>
        <v>2.5025025025025023E-2</v>
      </c>
      <c r="P9" s="26">
        <f>(O9*N9)</f>
        <v>3.0483900127627623</v>
      </c>
    </row>
    <row r="10" spans="2:17">
      <c r="B10">
        <f>(SUM(B5:B9))</f>
        <v>487.25465964</v>
      </c>
      <c r="C10" s="26"/>
      <c r="D10" s="26">
        <f>(SUM(D5:D9))</f>
        <v>2.0267040000000001</v>
      </c>
      <c r="O10" s="26"/>
      <c r="P10" s="26"/>
    </row>
    <row r="11" spans="2:17">
      <c r="O11" s="26"/>
      <c r="P11" s="26">
        <f>(SUM(P6:P9))</f>
        <v>6.1451664224624629</v>
      </c>
    </row>
  </sheetData>
  <conditionalFormatting sqref="C5 G9 O7:O9">
    <cfRule type="cellIs" dxfId="57" priority="7" operator="lessThan">
      <formula>$J$3</formula>
    </cfRule>
    <cfRule type="cellIs" dxfId="56" priority="8" operator="greaterThan">
      <formula>$J$3</formula>
    </cfRule>
  </conditionalFormatting>
  <conditionalFormatting sqref="O3">
    <cfRule type="cellIs" dxfId="55" priority="1" operator="greaterThan">
      <formula>$J$3</formula>
    </cfRule>
    <cfRule type="cellIs" dxfId="54" priority="2" operator="less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2:W52"/>
  <sheetViews>
    <sheetView workbookViewId="0">
      <selection activeCell="M2" sqref="M2:P3"/>
    </sheetView>
  </sheetViews>
  <sheetFormatPr baseColWidth="10" defaultColWidth="9.140625" defaultRowHeight="15"/>
  <cols>
    <col min="3" max="3" width="9" style="25" bestFit="1" customWidth="1"/>
    <col min="4" max="4" width="10.28515625" style="25" bestFit="1" customWidth="1"/>
    <col min="5" max="5" width="9.7109375" style="25" bestFit="1" customWidth="1"/>
    <col min="9" max="9" width="12.42578125" style="25" bestFit="1" customWidth="1"/>
    <col min="14" max="14" width="12" style="25" bestFit="1" customWidth="1"/>
    <col min="15" max="15" width="11.28515625" style="25" bestFit="1" customWidth="1"/>
    <col min="20" max="20" width="10.28515625" style="25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6">
        <v>103.1067733919764</v>
      </c>
      <c r="M3" t="s">
        <v>4</v>
      </c>
      <c r="N3" s="23">
        <f>(INDEX(N5:N26,MATCH(MAX(O6:O9,O23:O25,O14:O16),O5:O26,0))/0.85)</f>
        <v>0.12470439294117648</v>
      </c>
      <c r="O3" s="27">
        <f>(MAX(O14:O16,O23:O25,O6:O9)*0.75)</f>
        <v>48.162191914867591</v>
      </c>
      <c r="P3" s="26">
        <f>(O3*N3)</f>
        <v>6.0060369054600011</v>
      </c>
    </row>
    <row r="4" spans="2:22">
      <c r="B4" t="s">
        <v>5</v>
      </c>
      <c r="C4" t="s">
        <v>6</v>
      </c>
      <c r="D4" t="s">
        <v>7</v>
      </c>
      <c r="E4" t="s">
        <v>36</v>
      </c>
      <c r="I4" t="s">
        <v>8</v>
      </c>
      <c r="J4" s="26">
        <f>(B48*J3)</f>
        <v>440.48725664194791</v>
      </c>
      <c r="K4" s="4">
        <f>(J4/D48-1)</f>
        <v>10.146008872323058</v>
      </c>
      <c r="O4" s="26"/>
      <c r="P4" s="26"/>
      <c r="R4" t="s">
        <v>5</v>
      </c>
      <c r="S4" t="s">
        <v>6</v>
      </c>
      <c r="T4" t="s">
        <v>7</v>
      </c>
    </row>
    <row r="5" spans="2:22">
      <c r="B5" s="23">
        <f>(0.108955+8*0.0233458)</f>
        <v>0.29572140000000002</v>
      </c>
      <c r="C5" s="26">
        <v>196</v>
      </c>
      <c r="D5" s="26">
        <f>(B5*C5)</f>
        <v>57.961394400000003</v>
      </c>
      <c r="E5" s="26"/>
      <c r="M5" t="s">
        <v>87</v>
      </c>
      <c r="N5" t="s">
        <v>30</v>
      </c>
      <c r="O5" t="s">
        <v>1</v>
      </c>
      <c r="P5" t="s">
        <v>2</v>
      </c>
      <c r="R5" s="23">
        <f>(B5)</f>
        <v>0.29572140000000002</v>
      </c>
      <c r="S5" s="26">
        <f>(C5)</f>
        <v>196</v>
      </c>
      <c r="T5" s="26">
        <f>(R5*S5)</f>
        <v>57.961394400000003</v>
      </c>
    </row>
    <row r="6" spans="2:22">
      <c r="B6" s="23">
        <f>(-0.00801)</f>
        <v>-8.0099999999999998E-3</v>
      </c>
      <c r="C6" s="26">
        <f t="shared" ref="C6:C11" si="0">(D6/B6)</f>
        <v>37.551186017478159</v>
      </c>
      <c r="D6" s="26">
        <v>-0.30078500000000002</v>
      </c>
      <c r="E6" s="26"/>
      <c r="M6" t="s">
        <v>10</v>
      </c>
      <c r="N6" s="23">
        <f>($B$15/5)</f>
        <v>9.8105999999999999E-2</v>
      </c>
      <c r="O6" s="26">
        <f>(C22)</f>
        <v>16.233513403322799</v>
      </c>
      <c r="P6" s="26">
        <f>(O6*N6)</f>
        <v>1.5926050659463866</v>
      </c>
      <c r="Q6" t="s">
        <v>11</v>
      </c>
      <c r="R6" s="23">
        <f>(B6+B7+B8+B9+B10+B11)</f>
        <v>3.1006299999999931E-3</v>
      </c>
      <c r="S6" s="26">
        <v>0</v>
      </c>
      <c r="T6" s="26">
        <f>(D6+D7+D8+D9)+D10+D11</f>
        <v>-0.2519849999999999</v>
      </c>
    </row>
    <row r="7" spans="2:22">
      <c r="B7" s="23">
        <v>-7.3249999999999999E-3</v>
      </c>
      <c r="C7" s="26">
        <f t="shared" si="0"/>
        <v>40.955631399317404</v>
      </c>
      <c r="D7" s="26">
        <v>-0.3</v>
      </c>
      <c r="E7" s="26"/>
      <c r="N7" s="23">
        <f>-B35</f>
        <v>0.10885</v>
      </c>
      <c r="O7" s="26">
        <f>P7/N7</f>
        <v>23.941203491042717</v>
      </c>
      <c r="P7" s="26">
        <f>-D35</f>
        <v>2.6059999999999999</v>
      </c>
      <c r="Q7" t="s">
        <v>11</v>
      </c>
      <c r="R7" s="23">
        <f>B12+B13+B14</f>
        <v>8.7887910000000544E-3</v>
      </c>
      <c r="S7" s="26">
        <v>0</v>
      </c>
      <c r="T7" s="26">
        <f>(R7*S7)</f>
        <v>0</v>
      </c>
    </row>
    <row r="8" spans="2:22">
      <c r="B8" s="23">
        <f>(0.00803628-0.0000683)</f>
        <v>7.9679799999999995E-3</v>
      </c>
      <c r="C8" s="26">
        <f t="shared" si="0"/>
        <v>36.395673683919888</v>
      </c>
      <c r="D8" s="26">
        <v>0.28999999999999998</v>
      </c>
      <c r="E8" s="26"/>
      <c r="N8" s="23">
        <f>(($B$15+$R$16)/5)</f>
        <v>0.10599873400000001</v>
      </c>
      <c r="O8" s="26">
        <f>C37</f>
        <v>31.194569999999995</v>
      </c>
      <c r="P8" s="26">
        <f>-D37</f>
        <v>3.1194569999999997</v>
      </c>
      <c r="Q8" t="s">
        <v>11</v>
      </c>
      <c r="R8" s="23">
        <f>(B15+B22)</f>
        <v>0.39241999999999999</v>
      </c>
      <c r="S8" s="26">
        <f>(T8/R8)</f>
        <v>11.995642423933541</v>
      </c>
      <c r="T8" s="26">
        <f>(D15+D22)</f>
        <v>4.7073299999999998</v>
      </c>
    </row>
    <row r="9" spans="2:22">
      <c r="B9" s="23">
        <f>(0.00884882-0.00007521)</f>
        <v>8.7736100000000011E-3</v>
      </c>
      <c r="C9" s="26">
        <f t="shared" si="0"/>
        <v>31.913887214043022</v>
      </c>
      <c r="D9" s="26">
        <v>0.28000000000000003</v>
      </c>
      <c r="E9" s="26"/>
      <c r="N9" s="23">
        <f>(($B$15+$R$16)/5)</f>
        <v>0.10599873400000001</v>
      </c>
      <c r="O9" s="26">
        <f>($C$15*[1]Params!K11)</f>
        <v>64.216255886490117</v>
      </c>
      <c r="P9" s="26">
        <f>(O9*N9)</f>
        <v>6.806841826188001</v>
      </c>
      <c r="Q9" t="s">
        <v>11</v>
      </c>
      <c r="R9" s="23">
        <f>(B16+B20+B36-N16)</f>
        <v>2.5326691400000003</v>
      </c>
      <c r="S9" s="26">
        <f>(T9/R9)</f>
        <v>24.89092081565774</v>
      </c>
      <c r="T9" s="26">
        <f>(D16+11.97*B20+B36*19.42078-N16*19.42078)</f>
        <v>63.040467015999994</v>
      </c>
      <c r="U9" t="s">
        <v>9</v>
      </c>
    </row>
    <row r="10" spans="2:22">
      <c r="B10" s="23">
        <v>0.10169404</v>
      </c>
      <c r="C10" s="26">
        <f t="shared" si="0"/>
        <v>35.006967959970908</v>
      </c>
      <c r="D10" s="26">
        <v>3.56</v>
      </c>
      <c r="E10" s="26"/>
      <c r="O10" s="26"/>
      <c r="P10" s="26"/>
      <c r="R10" s="24">
        <f>(B17)</f>
        <v>6.4983799999999994E-2</v>
      </c>
      <c r="S10" s="29">
        <f>(C17)</f>
        <v>0</v>
      </c>
      <c r="T10" s="30">
        <f>(D17)</f>
        <v>0</v>
      </c>
    </row>
    <row r="11" spans="2:22">
      <c r="B11" s="23">
        <v>-0.1</v>
      </c>
      <c r="C11" s="26">
        <f t="shared" si="0"/>
        <v>37.811999999999998</v>
      </c>
      <c r="D11" s="26">
        <v>-3.7812000000000001</v>
      </c>
      <c r="E11" s="26"/>
      <c r="O11" s="26"/>
      <c r="P11" s="26">
        <f>(SUM(P6:P9))</f>
        <v>14.124903892134387</v>
      </c>
      <c r="R11" s="23">
        <f>B18+B21+B38-N25</f>
        <v>0.82477053</v>
      </c>
      <c r="S11" s="26">
        <f>(T11/R11)</f>
        <v>28.75090408480041</v>
      </c>
      <c r="T11" s="26">
        <f>(D18+12.6*B21+20.2393*B38-20.2393*N25)</f>
        <v>23.7128984</v>
      </c>
      <c r="U11" t="s">
        <v>15</v>
      </c>
    </row>
    <row r="12" spans="2:22">
      <c r="B12" s="23">
        <v>2.0999999999999999E-3</v>
      </c>
      <c r="C12" s="26">
        <v>0</v>
      </c>
      <c r="D12" s="26">
        <v>0</v>
      </c>
      <c r="E12" s="26">
        <f>(B12*$J$3)</f>
        <v>0.21652422412315042</v>
      </c>
      <c r="O12" s="26"/>
      <c r="P12" s="26"/>
      <c r="R12" s="23">
        <f>(B19)</f>
        <v>4.1474400000000002E-2</v>
      </c>
      <c r="S12" s="26">
        <f>(T12/R12)</f>
        <v>12.055629496749802</v>
      </c>
      <c r="T12" s="26">
        <f>(D19)</f>
        <v>0.5</v>
      </c>
    </row>
    <row r="13" spans="2:22">
      <c r="B13" s="23">
        <f>(0.60148-0.595318987)</f>
        <v>6.1610130000000485E-3</v>
      </c>
      <c r="C13" s="26">
        <v>0</v>
      </c>
      <c r="D13" s="26">
        <v>0</v>
      </c>
      <c r="E13" s="26">
        <f>(B13*$J$3)</f>
        <v>0.63524217125602567</v>
      </c>
      <c r="F13" s="27"/>
      <c r="M13" t="s">
        <v>9</v>
      </c>
      <c r="N13" t="s">
        <v>30</v>
      </c>
      <c r="O13" t="s">
        <v>1</v>
      </c>
      <c r="P13" t="s">
        <v>2</v>
      </c>
      <c r="R13" s="23">
        <f>(B20-B20)</f>
        <v>0</v>
      </c>
      <c r="S13" s="26">
        <v>0</v>
      </c>
      <c r="T13" s="26">
        <f>(14.952/1.25*-B20+D20)</f>
        <v>-0.84218656000000047</v>
      </c>
      <c r="U13" t="s">
        <v>18</v>
      </c>
    </row>
    <row r="14" spans="2:22">
      <c r="B14" s="23">
        <f>(0.10209-0.101562222)</f>
        <v>5.2777800000000652E-4</v>
      </c>
      <c r="C14" s="26">
        <v>0</v>
      </c>
      <c r="D14" s="26">
        <v>0</v>
      </c>
      <c r="E14" s="26">
        <f>(B14*$J$3)</f>
        <v>5.4417486647271196E-2</v>
      </c>
      <c r="I14" s="23"/>
      <c r="M14" t="s">
        <v>10</v>
      </c>
      <c r="N14" s="23">
        <f>(-B20)</f>
        <v>0.28089999999999998</v>
      </c>
      <c r="O14" s="26">
        <f>(C20)</f>
        <v>14.959772160911358</v>
      </c>
      <c r="P14" s="26">
        <f>(O14*N14)</f>
        <v>4.2022000000000004</v>
      </c>
      <c r="Q14" t="s">
        <v>11</v>
      </c>
      <c r="R14" s="23">
        <f>(B21-B21)</f>
        <v>0</v>
      </c>
      <c r="S14" s="26">
        <v>0</v>
      </c>
      <c r="T14" s="26">
        <f>(12.6*-B21+D21)</f>
        <v>-0.26295951999999989</v>
      </c>
      <c r="U14" t="s">
        <v>17</v>
      </c>
    </row>
    <row r="15" spans="2:22">
      <c r="B15" s="23">
        <v>0.49053000000000002</v>
      </c>
      <c r="C15" s="26">
        <f>(D15/B15)</f>
        <v>12.843251177298024</v>
      </c>
      <c r="D15" s="26">
        <v>6.3</v>
      </c>
      <c r="E15" s="26"/>
      <c r="N15" s="23">
        <f>-B36</f>
        <v>2.08</v>
      </c>
      <c r="O15" s="26">
        <f>C36</f>
        <v>31.395271514423076</v>
      </c>
      <c r="P15" s="26">
        <f>(O15*N15)</f>
        <v>65.302164750000003</v>
      </c>
      <c r="Q15" t="s">
        <v>11</v>
      </c>
      <c r="R15" s="23">
        <f>(B25+B26)+B42+B43</f>
        <v>5.9467390000000009E-2</v>
      </c>
      <c r="S15" s="26">
        <v>0</v>
      </c>
      <c r="T15" s="26">
        <f>(D25+D26)+D42+D43</f>
        <v>-2.6994419700000023</v>
      </c>
      <c r="U15" t="s">
        <v>82</v>
      </c>
    </row>
    <row r="16" spans="2:22">
      <c r="B16" s="23">
        <v>6.1263691400000004</v>
      </c>
      <c r="C16" s="26">
        <f>(D16/B16)</f>
        <v>21.340535807151838</v>
      </c>
      <c r="D16" s="26">
        <v>130.74</v>
      </c>
      <c r="E16" t="s">
        <v>9</v>
      </c>
      <c r="N16" s="23">
        <f>-B39-N25</f>
        <v>1.2328000000000001</v>
      </c>
      <c r="O16" s="26">
        <f>C39</f>
        <v>46.861096439187513</v>
      </c>
      <c r="P16" s="26">
        <f>(O16*N16)</f>
        <v>57.770359690230372</v>
      </c>
      <c r="Q16" t="s">
        <v>11</v>
      </c>
      <c r="R16" s="23">
        <f>(B27+B24+B32+B33+B28+B34)</f>
        <v>3.9463670000000006E-2</v>
      </c>
      <c r="S16" s="26">
        <v>0</v>
      </c>
      <c r="T16" s="26">
        <f>(D27+D24+D32+D33+D28+D34)</f>
        <v>-0.41275400000000007</v>
      </c>
      <c r="U16" t="s">
        <v>88</v>
      </c>
      <c r="V16" s="27">
        <f>-T15+R15*$J$3</f>
        <v>8.8309326749422858</v>
      </c>
    </row>
    <row r="17" spans="2:22">
      <c r="B17" s="24">
        <v>6.4983799999999994E-2</v>
      </c>
      <c r="C17" s="29">
        <v>0</v>
      </c>
      <c r="D17" s="30">
        <v>0</v>
      </c>
      <c r="E17" s="27">
        <f>B17*J3</f>
        <v>6.7002699407495152</v>
      </c>
      <c r="N17" s="23">
        <f>($R$9+$R$17)/2</f>
        <v>1.4238708800000002</v>
      </c>
      <c r="O17" s="26">
        <f>($S$9*[1]Params!K11)</f>
        <v>124.4546040782887</v>
      </c>
      <c r="P17" s="26">
        <f>O17*N17</f>
        <v>177.20728662900453</v>
      </c>
      <c r="R17" s="23">
        <f>B30+B23+B29+B31+B41+B44</f>
        <v>0.31507262000000003</v>
      </c>
      <c r="S17" s="26">
        <v>0</v>
      </c>
      <c r="T17" s="26">
        <f>D30+D23+D29+D31+D41+D44</f>
        <v>-16.701520119999998</v>
      </c>
      <c r="U17" t="s">
        <v>89</v>
      </c>
      <c r="V17" s="27">
        <f>-T16+R16*$J$3</f>
        <v>4.4817256799057379</v>
      </c>
    </row>
    <row r="18" spans="2:22">
      <c r="B18" s="23">
        <v>1.9282105300000001</v>
      </c>
      <c r="C18" s="26">
        <f t="shared" ref="C18:C31" si="1">(D18/B18)</f>
        <v>23.597008361944791</v>
      </c>
      <c r="D18" s="26">
        <v>45.5</v>
      </c>
      <c r="E18" t="s">
        <v>15</v>
      </c>
      <c r="N18" s="23"/>
      <c r="O18" s="26"/>
      <c r="P18" s="26"/>
      <c r="R18" s="23">
        <f>B35</f>
        <v>-0.10885</v>
      </c>
      <c r="S18" s="27">
        <f>T18/R18</f>
        <v>23.941203491042717</v>
      </c>
      <c r="T18" s="27">
        <f>D35</f>
        <v>-2.6059999999999999</v>
      </c>
      <c r="U18" t="s">
        <v>90</v>
      </c>
      <c r="V18" s="27">
        <f>-T17+R17*$J$3</f>
        <v>49.187641352356295</v>
      </c>
    </row>
    <row r="19" spans="2:22">
      <c r="B19" s="23">
        <v>4.1474400000000002E-2</v>
      </c>
      <c r="C19" s="26">
        <f t="shared" si="1"/>
        <v>12.055629496749802</v>
      </c>
      <c r="D19" s="26">
        <v>0.5</v>
      </c>
      <c r="E19" s="26"/>
      <c r="O19" s="26"/>
      <c r="P19" s="26">
        <f>(SUM(P14:P17))</f>
        <v>304.48201106923489</v>
      </c>
      <c r="R19" s="23">
        <f>B36-B36</f>
        <v>0</v>
      </c>
      <c r="S19" s="27">
        <v>0</v>
      </c>
      <c r="T19" s="26">
        <f>D36-B36*19.42078</f>
        <v>-24.906942350000001</v>
      </c>
      <c r="U19" t="s">
        <v>91</v>
      </c>
    </row>
    <row r="20" spans="2:22">
      <c r="B20" s="23">
        <v>-0.28089999999999998</v>
      </c>
      <c r="C20" s="26">
        <f t="shared" si="1"/>
        <v>14.959772160911358</v>
      </c>
      <c r="D20" s="26">
        <v>-4.2022000000000004</v>
      </c>
      <c r="E20" s="26"/>
      <c r="N20" s="23"/>
      <c r="O20" s="26"/>
      <c r="P20" s="26"/>
      <c r="R20" s="23">
        <f>B37</f>
        <v>-0.1</v>
      </c>
      <c r="S20" s="26">
        <f>T20/R20</f>
        <v>31.194569999999995</v>
      </c>
      <c r="T20" s="26">
        <f>D37</f>
        <v>-3.1194569999999997</v>
      </c>
      <c r="U20" t="s">
        <v>92</v>
      </c>
    </row>
    <row r="21" spans="2:22">
      <c r="B21" s="23">
        <v>-7.1440000000000003E-2</v>
      </c>
      <c r="C21" s="26">
        <f t="shared" si="1"/>
        <v>16.280844344904814</v>
      </c>
      <c r="D21" s="26">
        <v>-1.1631035199999999</v>
      </c>
      <c r="E21" s="26"/>
      <c r="G21" s="27"/>
      <c r="I21" s="27"/>
      <c r="O21" s="26"/>
      <c r="P21" s="26"/>
      <c r="R21" s="23">
        <f>B38-B38</f>
        <v>0</v>
      </c>
      <c r="S21" s="26">
        <v>0</v>
      </c>
      <c r="T21" s="26">
        <f>D38-B38*20.2393</f>
        <v>-8.2515799200000011</v>
      </c>
      <c r="U21" t="s">
        <v>93</v>
      </c>
    </row>
    <row r="22" spans="2:22">
      <c r="B22" s="23">
        <v>-9.8110000000000003E-2</v>
      </c>
      <c r="C22" s="26">
        <f t="shared" si="1"/>
        <v>16.233513403322799</v>
      </c>
      <c r="D22" s="26">
        <v>-1.59267</v>
      </c>
      <c r="E22" s="26"/>
      <c r="M22" t="s">
        <v>15</v>
      </c>
      <c r="N22" t="s">
        <v>30</v>
      </c>
      <c r="O22" t="s">
        <v>1</v>
      </c>
      <c r="P22" t="s">
        <v>2</v>
      </c>
      <c r="R22" s="23">
        <f>N16-N16</f>
        <v>0</v>
      </c>
      <c r="S22" s="26">
        <v>0</v>
      </c>
      <c r="T22" s="26">
        <f>-57.77+(N16)*19.42078</f>
        <v>-33.828062416000002</v>
      </c>
      <c r="U22" t="s">
        <v>94</v>
      </c>
    </row>
    <row r="23" spans="2:22">
      <c r="B23" s="23">
        <v>-0.31</v>
      </c>
      <c r="C23" s="26">
        <f t="shared" si="1"/>
        <v>18.399999999999999</v>
      </c>
      <c r="D23" s="26">
        <v>-5.7039999999999997</v>
      </c>
      <c r="E23" s="26"/>
      <c r="M23" t="s">
        <v>10</v>
      </c>
      <c r="N23" s="23">
        <f>(-B21)</f>
        <v>7.1440000000000003E-2</v>
      </c>
      <c r="O23" s="26">
        <f>(C21)</f>
        <v>16.280844344904814</v>
      </c>
      <c r="P23" s="26">
        <f>(O23*N23)</f>
        <v>1.1631035199999999</v>
      </c>
      <c r="Q23" t="s">
        <v>11</v>
      </c>
      <c r="R23" s="23">
        <f>N25-N25</f>
        <v>0</v>
      </c>
      <c r="S23" s="27">
        <v>0</v>
      </c>
      <c r="T23" s="27">
        <f>-P25+N25*20.2393</f>
        <v>-10.169526239769629</v>
      </c>
      <c r="U23" t="s">
        <v>95</v>
      </c>
    </row>
    <row r="24" spans="2:22">
      <c r="B24" s="23">
        <v>-9.8095000000000002E-2</v>
      </c>
      <c r="C24" s="26">
        <f t="shared" si="1"/>
        <v>22.019470921045926</v>
      </c>
      <c r="D24" s="26">
        <v>-2.16</v>
      </c>
      <c r="E24" s="26"/>
      <c r="N24" s="23">
        <f>-B38</f>
        <v>0.65</v>
      </c>
      <c r="O24" s="26">
        <f>($S$11*[1]Params!K9)</f>
        <v>46.001446535680657</v>
      </c>
      <c r="P24" s="26">
        <f>(O24*N24)</f>
        <v>29.900940248192427</v>
      </c>
      <c r="Q24" t="s">
        <v>11</v>
      </c>
      <c r="R24" s="23">
        <f>B40</f>
        <v>-0.10879999999999999</v>
      </c>
      <c r="S24" s="26">
        <f>C40</f>
        <v>58.381847426470586</v>
      </c>
      <c r="T24" s="26">
        <f>D40</f>
        <v>-6.3519449999999997</v>
      </c>
      <c r="U24" t="s">
        <v>96</v>
      </c>
    </row>
    <row r="25" spans="2:22">
      <c r="B25" s="23">
        <f>(-0.05715)</f>
        <v>-5.7149999999999999E-2</v>
      </c>
      <c r="C25" s="26">
        <f t="shared" si="1"/>
        <v>22.045157130358703</v>
      </c>
      <c r="D25" s="26">
        <v>-1.2598807299999999</v>
      </c>
      <c r="E25" s="26"/>
      <c r="N25" s="23">
        <f>0.382</f>
        <v>0.38200000000000001</v>
      </c>
      <c r="O25" s="26">
        <f>C39</f>
        <v>46.861096439187513</v>
      </c>
      <c r="P25" s="26">
        <f>(O25*N25)</f>
        <v>17.90093883976963</v>
      </c>
      <c r="Q25" t="s">
        <v>11</v>
      </c>
    </row>
    <row r="26" spans="2:22">
      <c r="B26" s="23">
        <v>6.3534430000000003E-2</v>
      </c>
      <c r="C26" s="26">
        <f t="shared" si="1"/>
        <v>18.730001984750629</v>
      </c>
      <c r="D26" s="26">
        <v>1.19</v>
      </c>
      <c r="E26" s="26"/>
      <c r="N26" s="23">
        <f>4*($B$18+$R$15)/5-$N$25-$N$24-$N$23</f>
        <v>0.48670233599999985</v>
      </c>
      <c r="O26" s="26">
        <f>($S$11*[1]Params!K11)</f>
        <v>143.75452042400207</v>
      </c>
      <c r="P26" s="26">
        <f>O26*N26</f>
        <v>69.965660900921492</v>
      </c>
    </row>
    <row r="27" spans="2:22">
      <c r="B27" s="23">
        <f>(0.02767109+0.08304053-0.00094104)</f>
        <v>0.10977057999999999</v>
      </c>
      <c r="C27" s="26">
        <f t="shared" si="1"/>
        <v>18.584214458919686</v>
      </c>
      <c r="D27" s="26">
        <v>2.04</v>
      </c>
      <c r="E27" s="26"/>
      <c r="O27" s="26"/>
      <c r="P27" s="26"/>
    </row>
    <row r="28" spans="2:22">
      <c r="B28" s="23">
        <v>-0.10199999999999999</v>
      </c>
      <c r="C28" s="26">
        <f t="shared" si="1"/>
        <v>22.114333333333335</v>
      </c>
      <c r="D28" s="26">
        <f>(-2.275+0.019338)</f>
        <v>-2.2556620000000001</v>
      </c>
      <c r="E28" s="26"/>
      <c r="O28" s="26"/>
      <c r="P28" s="26">
        <f>(SUM(P23:P26))</f>
        <v>118.93064350888355</v>
      </c>
    </row>
    <row r="29" spans="2:22">
      <c r="B29" s="23">
        <v>0.11322</v>
      </c>
      <c r="C29" s="26">
        <f t="shared" si="1"/>
        <v>18.812930577636457</v>
      </c>
      <c r="D29" s="26">
        <v>2.13</v>
      </c>
      <c r="E29" s="26"/>
      <c r="N29" s="23"/>
      <c r="R29" s="23"/>
      <c r="S29" s="26"/>
      <c r="T29" s="26"/>
    </row>
    <row r="30" spans="2:22">
      <c r="B30" s="23">
        <v>0.34735262</v>
      </c>
      <c r="C30" s="26">
        <f t="shared" si="1"/>
        <v>15.48858333067993</v>
      </c>
      <c r="D30" s="26">
        <v>5.38</v>
      </c>
      <c r="E30" s="26"/>
      <c r="N30" s="23"/>
      <c r="P30" s="23"/>
      <c r="R30" s="23"/>
      <c r="S30" s="26"/>
      <c r="T30" s="26"/>
    </row>
    <row r="31" spans="2:22">
      <c r="B31" s="23">
        <v>-0.1055</v>
      </c>
      <c r="C31" s="26">
        <f t="shared" si="1"/>
        <v>21.432719620853081</v>
      </c>
      <c r="D31" s="26">
        <v>-2.2611519200000001</v>
      </c>
      <c r="E31" s="26"/>
      <c r="S31" s="26"/>
      <c r="T31" s="26"/>
    </row>
    <row r="32" spans="2:22">
      <c r="B32" s="23">
        <v>-0.1</v>
      </c>
      <c r="C32" s="26">
        <f t="shared" ref="C32:C44" si="2">D32/B32</f>
        <v>28.47092</v>
      </c>
      <c r="D32" s="26">
        <f>-2.8715+0.024408</f>
        <v>-2.847092</v>
      </c>
      <c r="E32" s="26"/>
      <c r="S32" s="26"/>
      <c r="T32" s="26"/>
    </row>
    <row r="33" spans="2:23">
      <c r="B33" s="23">
        <f>0.11560694-0.00098265-0.0000162</f>
        <v>0.11460809000000001</v>
      </c>
      <c r="C33" s="26">
        <f t="shared" si="2"/>
        <v>23.38403859622824</v>
      </c>
      <c r="D33" s="26">
        <v>2.68</v>
      </c>
      <c r="E33" s="26"/>
      <c r="S33" s="26"/>
      <c r="T33" s="26"/>
      <c r="U33" s="27"/>
    </row>
    <row r="34" spans="2:23">
      <c r="B34" s="23">
        <v>0.11518</v>
      </c>
      <c r="C34" s="26">
        <f t="shared" si="2"/>
        <v>18.492793887827744</v>
      </c>
      <c r="D34" s="26">
        <v>2.13</v>
      </c>
      <c r="E34" s="26"/>
      <c r="S34" s="26"/>
      <c r="T34" s="26"/>
    </row>
    <row r="35" spans="2:23">
      <c r="B35" s="23">
        <v>-0.10885</v>
      </c>
      <c r="C35" s="26">
        <f t="shared" si="2"/>
        <v>23.941203491042717</v>
      </c>
      <c r="D35" s="26">
        <v>-2.6059999999999999</v>
      </c>
      <c r="E35" s="26"/>
      <c r="F35" s="23"/>
      <c r="H35" s="27"/>
      <c r="J35" s="27"/>
      <c r="S35" s="26"/>
      <c r="T35" s="26"/>
    </row>
    <row r="36" spans="2:23">
      <c r="B36" s="23">
        <v>-2.08</v>
      </c>
      <c r="C36" s="26">
        <f t="shared" si="2"/>
        <v>31.395271514423076</v>
      </c>
      <c r="D36" s="26">
        <v>-65.302164750000003</v>
      </c>
      <c r="E36" s="26"/>
      <c r="S36" s="26"/>
      <c r="T36" s="26"/>
    </row>
    <row r="37" spans="2:23">
      <c r="B37" s="23">
        <v>-0.1</v>
      </c>
      <c r="C37" s="26">
        <f t="shared" si="2"/>
        <v>31.194569999999995</v>
      </c>
      <c r="D37" s="26">
        <f>-3.1462+0.026743</f>
        <v>-3.1194569999999997</v>
      </c>
      <c r="E37" s="26"/>
      <c r="S37" s="26"/>
      <c r="T37" s="26"/>
    </row>
    <row r="38" spans="2:23">
      <c r="B38" s="23">
        <v>-0.65</v>
      </c>
      <c r="C38" s="26">
        <f t="shared" si="2"/>
        <v>32.934038338461541</v>
      </c>
      <c r="D38" s="26">
        <f>-21.40712492</f>
        <v>-21.407124920000001</v>
      </c>
      <c r="E38" s="26"/>
      <c r="N38" s="23"/>
      <c r="P38" s="27"/>
      <c r="Q38" s="27"/>
      <c r="S38" s="26"/>
      <c r="T38" s="26"/>
    </row>
    <row r="39" spans="2:23">
      <c r="B39" s="23">
        <v>-1.6148</v>
      </c>
      <c r="C39" s="26">
        <f t="shared" si="2"/>
        <v>46.861096439187513</v>
      </c>
      <c r="D39" s="26">
        <v>-75.671298530000001</v>
      </c>
      <c r="E39" s="26"/>
      <c r="N39" s="23">
        <f>N16+N25</f>
        <v>1.6148000000000002</v>
      </c>
      <c r="S39" s="26"/>
      <c r="T39" s="26"/>
    </row>
    <row r="40" spans="2:23">
      <c r="B40" s="23">
        <v>-0.10879999999999999</v>
      </c>
      <c r="C40" s="26">
        <f t="shared" si="2"/>
        <v>58.381847426470586</v>
      </c>
      <c r="D40" s="26">
        <f>-6.4064+0.054455</f>
        <v>-6.3519449999999997</v>
      </c>
      <c r="E40" s="26"/>
      <c r="S40" s="26"/>
      <c r="T40" s="26"/>
    </row>
    <row r="41" spans="2:23">
      <c r="B41" s="23">
        <v>-1.23</v>
      </c>
      <c r="C41" s="26">
        <f t="shared" si="2"/>
        <v>111.1711694390244</v>
      </c>
      <c r="D41" s="26">
        <v>-136.74053841</v>
      </c>
      <c r="E41" s="26"/>
      <c r="S41" s="26"/>
      <c r="T41" s="26"/>
    </row>
    <row r="42" spans="2:23">
      <c r="B42" s="23">
        <v>-0.375</v>
      </c>
      <c r="C42" s="26">
        <f t="shared" si="2"/>
        <v>123.01216330666666</v>
      </c>
      <c r="D42" s="26">
        <v>-46.129561240000001</v>
      </c>
      <c r="E42" s="26"/>
      <c r="S42" s="26"/>
      <c r="T42" s="26"/>
    </row>
    <row r="43" spans="2:23">
      <c r="B43" s="23">
        <v>0.42808296000000001</v>
      </c>
      <c r="C43" s="26">
        <f t="shared" si="2"/>
        <v>101.61581764431828</v>
      </c>
      <c r="D43" s="26">
        <v>43.5</v>
      </c>
      <c r="E43" s="26"/>
      <c r="S43" s="26"/>
      <c r="T43" s="26"/>
    </row>
    <row r="44" spans="2:23">
      <c r="B44" s="23">
        <v>1.5</v>
      </c>
      <c r="C44" s="26">
        <f t="shared" si="2"/>
        <v>80.329446806666667</v>
      </c>
      <c r="D44" s="26">
        <f>120.49417021</f>
        <v>120.49417020999999</v>
      </c>
      <c r="E44" s="26"/>
      <c r="S44" s="26"/>
      <c r="T44" s="26"/>
    </row>
    <row r="45" spans="2:23">
      <c r="B45" s="24">
        <v>1.186428E-2</v>
      </c>
      <c r="C45" s="29">
        <v>0</v>
      </c>
      <c r="D45" s="30">
        <v>0</v>
      </c>
      <c r="E45" s="27">
        <f>B45*$J$3</f>
        <v>1.2232876294189579</v>
      </c>
      <c r="S45" s="26"/>
      <c r="T45" s="26"/>
    </row>
    <row r="46" spans="2:23">
      <c r="B46" s="23"/>
      <c r="C46" s="26"/>
      <c r="D46" s="26"/>
      <c r="E46" s="26"/>
      <c r="S46" s="26"/>
      <c r="T46" s="26"/>
    </row>
    <row r="47" spans="2:23">
      <c r="C47" s="26"/>
      <c r="D47" s="26"/>
      <c r="E47" s="26"/>
      <c r="S47" s="26"/>
      <c r="T47" s="26"/>
    </row>
    <row r="48" spans="2:23">
      <c r="B48" s="23">
        <f>(SUM(B5:B47))</f>
        <v>4.2721466509999999</v>
      </c>
      <c r="C48" s="26"/>
      <c r="D48" s="26">
        <f>(SUM(D5:D47))</f>
        <v>39.519729589999983</v>
      </c>
      <c r="E48" s="26"/>
      <c r="F48" t="s">
        <v>12</v>
      </c>
      <c r="G48" s="26">
        <f>(D48/B48)</f>
        <v>9.250555474435652</v>
      </c>
      <c r="R48" s="23">
        <f>(SUM(R5:R36))</f>
        <v>4.2602823710000015</v>
      </c>
      <c r="S48" s="26"/>
      <c r="T48" s="26">
        <f>(SUM(T5:T36))</f>
        <v>39.517729720230349</v>
      </c>
      <c r="V48" t="s">
        <v>12</v>
      </c>
      <c r="W48" s="26">
        <f>(T48/R48)</f>
        <v>9.2758475328372398</v>
      </c>
    </row>
    <row r="49" spans="13:20">
      <c r="M49" s="23"/>
      <c r="S49" s="26"/>
      <c r="T49" s="26"/>
    </row>
    <row r="52" spans="13:20">
      <c r="N52" s="23"/>
    </row>
  </sheetData>
  <conditionalFormatting sqref="C5 C8:C10 S5">
    <cfRule type="cellIs" dxfId="53" priority="117" operator="lessThan">
      <formula>$J$3</formula>
    </cfRule>
    <cfRule type="cellIs" dxfId="52" priority="118" operator="greaterThan">
      <formula>$J$3</formula>
    </cfRule>
  </conditionalFormatting>
  <conditionalFormatting sqref="C15:C16">
    <cfRule type="cellIs" dxfId="51" priority="101" operator="lessThan">
      <formula>$J$3</formula>
    </cfRule>
    <cfRule type="cellIs" dxfId="50" priority="102" operator="greaterThan">
      <formula>$J$3</formula>
    </cfRule>
    <cfRule type="cellIs" dxfId="49" priority="103" operator="lessThan">
      <formula>$J$3</formula>
    </cfRule>
    <cfRule type="cellIs" dxfId="48" priority="104" operator="greaterThan">
      <formula>$J$3</formula>
    </cfRule>
    <cfRule type="cellIs" dxfId="47" priority="111" operator="lessThan">
      <formula>$J$3</formula>
    </cfRule>
    <cfRule type="cellIs" dxfId="46" priority="112" operator="greaterThan">
      <formula>$J$3</formula>
    </cfRule>
  </conditionalFormatting>
  <conditionalFormatting sqref="C18:C19 G48 O17 W48">
    <cfRule type="cellIs" dxfId="45" priority="95" operator="lessThan">
      <formula>$J$3</formula>
    </cfRule>
    <cfRule type="cellIs" dxfId="44" priority="96" operator="greaterThan">
      <formula>$J$3</formula>
    </cfRule>
    <cfRule type="cellIs" dxfId="43" priority="97" operator="lessThan">
      <formula>$J$3</formula>
    </cfRule>
    <cfRule type="cellIs" dxfId="42" priority="98" operator="greaterThan">
      <formula>$J$3</formula>
    </cfRule>
    <cfRule type="cellIs" dxfId="41" priority="99" operator="lessThan">
      <formula>$J$3</formula>
    </cfRule>
    <cfRule type="cellIs" dxfId="40" priority="100" operator="greaterThan">
      <formula>$J$3</formula>
    </cfRule>
    <cfRule type="cellIs" dxfId="39" priority="109" operator="lessThan">
      <formula>$J$3</formula>
    </cfRule>
    <cfRule type="cellIs" dxfId="38" priority="110" operator="greaterThan">
      <formula>$J$3</formula>
    </cfRule>
  </conditionalFormatting>
  <conditionalFormatting sqref="C26:C27 C29:C30 C33:C34 C43:C44">
    <cfRule type="cellIs" dxfId="37" priority="87" operator="lessThan">
      <formula>$J$3</formula>
    </cfRule>
    <cfRule type="cellIs" dxfId="36" priority="88" operator="greaterThan">
      <formula>$J$3</formula>
    </cfRule>
    <cfRule type="cellIs" dxfId="35" priority="89" operator="lessThan">
      <formula>$J$3</formula>
    </cfRule>
    <cfRule type="cellIs" dxfId="34" priority="90" operator="greaterThan">
      <formula>$J$3</formula>
    </cfRule>
    <cfRule type="cellIs" dxfId="33" priority="91" operator="lessThan">
      <formula>$J$3</formula>
    </cfRule>
    <cfRule type="cellIs" dxfId="32" priority="92" operator="greaterThan">
      <formula>$J$3</formula>
    </cfRule>
    <cfRule type="cellIs" dxfId="31" priority="93" operator="lessThan">
      <formula>$J$3</formula>
    </cfRule>
    <cfRule type="cellIs" dxfId="30" priority="94" operator="greaterThan">
      <formula>$J$3</formula>
    </cfRule>
    <cfRule type="cellIs" dxfId="29" priority="107" operator="lessThan">
      <formula>$J$3</formula>
    </cfRule>
    <cfRule type="cellIs" dxfId="28" priority="108" operator="greaterThan">
      <formula>$J$3</formula>
    </cfRule>
  </conditionalFormatting>
  <conditionalFormatting sqref="O26 S8:S9 S11:S12">
    <cfRule type="cellIs" dxfId="27" priority="81" operator="lessThan">
      <formula>$J$3</formula>
    </cfRule>
    <cfRule type="cellIs" dxfId="26" priority="82" operator="greaterThan">
      <formula>$J$3</formula>
    </cfRule>
    <cfRule type="cellIs" dxfId="25" priority="83" operator="lessThan">
      <formula>$J$3</formula>
    </cfRule>
    <cfRule type="cellIs" dxfId="24" priority="84" operator="greaterThan">
      <formula>$J$3</formula>
    </cfRule>
  </conditionalFormatting>
  <conditionalFormatting sqref="O3">
    <cfRule type="cellIs" dxfId="23" priority="63" operator="greaterThan">
      <formula>$J$3</formula>
    </cfRule>
    <cfRule type="cellIs" dxfId="22" priority="64" operator="less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Q9" sqref="Q9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3" spans="2:17">
      <c r="I3" t="s">
        <v>3</v>
      </c>
      <c r="J3" s="47">
        <v>0.1376001000913496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6">
        <f>(B13*J3)</f>
        <v>1.2891872525485213</v>
      </c>
      <c r="K4" s="4">
        <f>(J4/D13-1)</f>
        <v>1.5783745050970426</v>
      </c>
    </row>
    <row r="5" spans="2:17">
      <c r="B5" s="18">
        <v>9.10125837</v>
      </c>
      <c r="C5" s="47">
        <f>(D5/B5)</f>
        <v>5.4937458060538499E-2</v>
      </c>
      <c r="D5" s="26">
        <v>0.5</v>
      </c>
      <c r="E5" s="26"/>
      <c r="G5" s="26"/>
      <c r="N5" t="s">
        <v>30</v>
      </c>
      <c r="O5" t="s">
        <v>1</v>
      </c>
      <c r="P5" t="s">
        <v>2</v>
      </c>
    </row>
    <row r="6" spans="2:17">
      <c r="B6" s="19">
        <v>0.26782822000000001</v>
      </c>
      <c r="C6" s="29">
        <v>0</v>
      </c>
      <c r="D6" s="30">
        <f>(B6*C6)</f>
        <v>0</v>
      </c>
      <c r="E6" s="26">
        <f>(B6*J3)</f>
        <v>3.6853189879287998E-2</v>
      </c>
      <c r="G6" s="26"/>
      <c r="M6" t="s">
        <v>10</v>
      </c>
      <c r="N6" s="18">
        <f>($B$13/5)</f>
        <v>1.873817318</v>
      </c>
      <c r="O6" s="47">
        <f>($C$5*[1]Params!K8)</f>
        <v>7.1418695478700056E-2</v>
      </c>
      <c r="P6" s="26">
        <f>(O6*N6)</f>
        <v>0.13382558841695646</v>
      </c>
      <c r="Q6" s="26">
        <f>N6*$J$3</f>
        <v>0.25783745050970425</v>
      </c>
    </row>
    <row r="7" spans="2:17">
      <c r="C7" s="26"/>
      <c r="D7" s="26"/>
      <c r="E7" s="26"/>
      <c r="G7" s="26"/>
      <c r="N7" s="18">
        <f>($B$13/5)</f>
        <v>1.873817318</v>
      </c>
      <c r="O7" s="47">
        <f>($C$5*[1]Params!K9)</f>
        <v>8.7899932896861599E-2</v>
      </c>
      <c r="P7" s="26">
        <f>(O7*N7)</f>
        <v>0.16470841651317716</v>
      </c>
      <c r="Q7" s="26">
        <f>Q6*2</f>
        <v>0.51567490101940849</v>
      </c>
    </row>
    <row r="8" spans="2:17">
      <c r="C8" s="26"/>
      <c r="D8" s="26"/>
      <c r="E8" s="26"/>
      <c r="G8" s="26"/>
      <c r="N8" s="18">
        <f>($B$13/5)</f>
        <v>1.873817318</v>
      </c>
      <c r="O8" s="47">
        <f>($C$5*[1]Params!K10)</f>
        <v>0.12086240773318471</v>
      </c>
      <c r="P8" s="26">
        <f>(O8*N8)</f>
        <v>0.22647407270561865</v>
      </c>
      <c r="Q8" s="26">
        <f>Q6*3</f>
        <v>0.77351235152911269</v>
      </c>
    </row>
    <row r="9" spans="2:17">
      <c r="C9" s="26"/>
      <c r="D9" s="26"/>
      <c r="E9" s="26"/>
      <c r="G9" s="26"/>
      <c r="N9" s="18">
        <f>($B$13/5)</f>
        <v>1.873817318</v>
      </c>
      <c r="O9" s="47">
        <f>($C$5*[1]Params!K11)</f>
        <v>0.27468729030269251</v>
      </c>
      <c r="P9" s="26">
        <f>(O9*N9)</f>
        <v>0.51471380160367863</v>
      </c>
      <c r="Q9" s="26">
        <f>Q6*4</f>
        <v>1.031349802038817</v>
      </c>
    </row>
    <row r="10" spans="2:17">
      <c r="C10" s="26"/>
      <c r="D10" s="26"/>
      <c r="E10" s="26"/>
      <c r="G10" s="26"/>
      <c r="O10" s="26"/>
      <c r="P10" s="26"/>
    </row>
    <row r="11" spans="2:17">
      <c r="C11" s="26"/>
      <c r="D11" s="26"/>
      <c r="E11" s="26"/>
      <c r="G11" s="26"/>
      <c r="O11" s="26"/>
      <c r="P11" s="26">
        <f>(SUM(P6:P9))</f>
        <v>1.0397218792394307</v>
      </c>
    </row>
    <row r="12" spans="2:17">
      <c r="C12" s="26"/>
      <c r="D12" s="26"/>
      <c r="E12" s="26"/>
      <c r="F12" t="s">
        <v>12</v>
      </c>
      <c r="G12" s="26">
        <f>(D13/B13)</f>
        <v>5.3366995298524615E-2</v>
      </c>
    </row>
    <row r="13" spans="2:17">
      <c r="B13">
        <f>(SUM(B5:B12))</f>
        <v>9.3690865900000002</v>
      </c>
      <c r="C13" s="26"/>
      <c r="D13" s="26">
        <f>(SUM(D5:D12))</f>
        <v>0.5</v>
      </c>
      <c r="E13" s="26"/>
      <c r="G13" s="26"/>
    </row>
  </sheetData>
  <conditionalFormatting sqref="C5">
    <cfRule type="cellIs" dxfId="21" priority="7" operator="lessThan">
      <formula>$J$3</formula>
    </cfRule>
    <cfRule type="cellIs" dxfId="20" priority="8" operator="greaterThan">
      <formula>$J$3</formula>
    </cfRule>
  </conditionalFormatting>
  <conditionalFormatting sqref="O6:O9">
    <cfRule type="cellIs" dxfId="19" priority="5" operator="lessThan">
      <formula>$J$3</formula>
    </cfRule>
    <cfRule type="cellIs" dxfId="18" priority="6" operator="greaterThan">
      <formula>$J$3</formula>
    </cfRule>
    <cfRule type="cellIs" dxfId="17" priority="1" operator="lessThan">
      <formula>$J$3</formula>
    </cfRule>
    <cfRule type="cellIs" dxfId="16" priority="2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B2:V20"/>
  <sheetViews>
    <sheetView workbookViewId="0">
      <selection activeCell="Y19" sqref="Y19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20" max="20" width="10.28515625" style="25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C3" s="26"/>
      <c r="D3" s="26"/>
      <c r="E3" s="26"/>
      <c r="G3" s="26"/>
      <c r="H3" s="26"/>
      <c r="I3" t="s">
        <v>3</v>
      </c>
      <c r="J3" s="26">
        <v>10.63996527546813</v>
      </c>
      <c r="M3" t="s">
        <v>4</v>
      </c>
      <c r="N3" s="1">
        <f>(INDEX(N5:N16,MATCH(MAX(O6:O7),O5:O16,0))/0.85)</f>
        <v>0.6705882352941176</v>
      </c>
      <c r="O3" s="55">
        <f>(MAX(O6:O7)*0.75)</f>
        <v>8.3443972500000001</v>
      </c>
      <c r="P3" s="26">
        <f>(O3*N3)</f>
        <v>5.595654626470588</v>
      </c>
    </row>
    <row r="4" spans="2:22">
      <c r="B4" t="s">
        <v>5</v>
      </c>
      <c r="C4" t="s">
        <v>6</v>
      </c>
      <c r="D4" t="s">
        <v>7</v>
      </c>
      <c r="E4" s="26"/>
      <c r="G4" s="26"/>
      <c r="H4" s="26"/>
      <c r="I4" t="s">
        <v>8</v>
      </c>
      <c r="J4" s="26">
        <f>(B12*J3)</f>
        <v>18.339328874267643</v>
      </c>
      <c r="K4" s="4">
        <f>(J4/D12-1)</f>
        <v>2.6059250407373629</v>
      </c>
      <c r="O4" s="26"/>
      <c r="P4" s="26"/>
      <c r="R4" t="s">
        <v>5</v>
      </c>
      <c r="S4" t="s">
        <v>6</v>
      </c>
      <c r="T4" t="s">
        <v>7</v>
      </c>
    </row>
    <row r="5" spans="2:22">
      <c r="B5" s="1">
        <v>2.7557541099999998</v>
      </c>
      <c r="C5" s="26">
        <f>(D5/B5)</f>
        <v>5.7697455452583908</v>
      </c>
      <c r="D5" s="26">
        <v>15.9</v>
      </c>
      <c r="E5" t="s">
        <v>80</v>
      </c>
      <c r="G5" s="26"/>
      <c r="H5" s="26"/>
      <c r="J5" s="26"/>
      <c r="M5" t="s">
        <v>80</v>
      </c>
      <c r="N5" t="s">
        <v>30</v>
      </c>
      <c r="O5" t="s">
        <v>1</v>
      </c>
      <c r="P5" t="s">
        <v>2</v>
      </c>
      <c r="R5" s="1">
        <f>SUM(B$5)+B9</f>
        <v>2.2178541099999998</v>
      </c>
      <c r="S5" s="26">
        <f>(T5/R5)</f>
        <v>5.7913419156321337</v>
      </c>
      <c r="T5" s="26">
        <f>D5+5.6807*B9</f>
        <v>12.844351469999999</v>
      </c>
    </row>
    <row r="6" spans="2:22">
      <c r="B6" s="2">
        <v>2.7726500000000002E-3</v>
      </c>
      <c r="C6" s="29">
        <v>0</v>
      </c>
      <c r="D6" s="29">
        <f>(B6*C6)</f>
        <v>0</v>
      </c>
      <c r="E6" s="26">
        <f>(B6*J3)</f>
        <v>2.9500899721026715E-2</v>
      </c>
      <c r="G6" s="26"/>
      <c r="H6" s="26"/>
      <c r="J6" s="26"/>
      <c r="M6" t="s">
        <v>10</v>
      </c>
      <c r="N6" s="1">
        <f>-B9</f>
        <v>0.53790000000000004</v>
      </c>
      <c r="O6" s="47">
        <f>P6/N6</f>
        <v>7.5838088306376648</v>
      </c>
      <c r="P6" s="26">
        <f>-D9</f>
        <v>4.0793307700000003</v>
      </c>
      <c r="Q6" t="s">
        <v>11</v>
      </c>
      <c r="R6" s="2">
        <f>(B6)</f>
        <v>2.7726500000000002E-3</v>
      </c>
      <c r="S6" s="29">
        <f>0</f>
        <v>0</v>
      </c>
      <c r="T6" s="29">
        <f>(D6)</f>
        <v>0</v>
      </c>
    </row>
    <row r="7" spans="2:22">
      <c r="B7" s="1">
        <f>-0.409</f>
        <v>-0.40899999999999997</v>
      </c>
      <c r="C7" s="26">
        <f>D7/B7</f>
        <v>7.570026161369193</v>
      </c>
      <c r="D7" s="26">
        <f>-3.0961407</f>
        <v>-3.0961406999999999</v>
      </c>
      <c r="E7" s="26"/>
      <c r="G7" s="26"/>
      <c r="H7" s="26"/>
      <c r="J7" s="26"/>
      <c r="N7" s="1">
        <f>-B10</f>
        <v>0.56999999999999995</v>
      </c>
      <c r="O7" s="47">
        <f>P7/N7</f>
        <v>11.125863000000001</v>
      </c>
      <c r="P7" s="26">
        <f>-D10</f>
        <v>6.3417419099999996</v>
      </c>
      <c r="Q7" t="s">
        <v>11</v>
      </c>
      <c r="R7" s="1">
        <f>B7+B8</f>
        <v>7.3000000000000009E-2</v>
      </c>
      <c r="S7" s="26">
        <v>0</v>
      </c>
      <c r="T7" s="26">
        <f>D7+D8</f>
        <v>-0.3930398799999999</v>
      </c>
      <c r="U7" t="s">
        <v>81</v>
      </c>
      <c r="V7" s="27">
        <f>R7*J3-T7</f>
        <v>1.1697573451091734</v>
      </c>
    </row>
    <row r="8" spans="2:22">
      <c r="B8" s="1">
        <v>0.48199999999999998</v>
      </c>
      <c r="C8" s="26">
        <f>(D8/B8)</f>
        <v>5.608092987551867</v>
      </c>
      <c r="D8" s="26">
        <v>2.70310082</v>
      </c>
      <c r="E8" s="26"/>
      <c r="G8" s="26"/>
      <c r="H8" s="26"/>
      <c r="J8" s="26"/>
      <c r="N8" s="1">
        <f>$B$12/4</f>
        <v>0.43090669000000004</v>
      </c>
      <c r="O8" s="47">
        <f>($C$5*[1]Params!K10)</f>
        <v>12.69344019956846</v>
      </c>
      <c r="P8" s="26">
        <f>(O8*N8)</f>
        <v>5.4696883011089854</v>
      </c>
      <c r="R8" s="1">
        <f>B9-B9</f>
        <v>0</v>
      </c>
      <c r="S8" s="26">
        <v>0</v>
      </c>
      <c r="T8" s="27">
        <f>-P6+N6*5.6808</f>
        <v>-1.0236284500000004</v>
      </c>
    </row>
    <row r="9" spans="2:22">
      <c r="B9" s="1">
        <v>-0.53790000000000004</v>
      </c>
      <c r="C9" s="26">
        <f>D9/B9</f>
        <v>7.5838088306376648</v>
      </c>
      <c r="D9" s="26">
        <f>-4.07933077</f>
        <v>-4.0793307700000003</v>
      </c>
      <c r="E9" s="26"/>
      <c r="G9" s="26"/>
      <c r="H9" s="26"/>
      <c r="J9" s="26"/>
      <c r="N9" s="1">
        <f>$B$12/4</f>
        <v>0.43090669000000004</v>
      </c>
      <c r="O9" s="47">
        <f>($C$5*[1]Params!K11)</f>
        <v>28.848727726291955</v>
      </c>
      <c r="P9" s="26">
        <f>(O9*N9)</f>
        <v>12.431109775247693</v>
      </c>
      <c r="R9" s="18"/>
      <c r="S9" s="27"/>
      <c r="T9" s="27"/>
    </row>
    <row r="10" spans="2:22">
      <c r="B10" s="1">
        <f>-0.57</f>
        <v>-0.56999999999999995</v>
      </c>
      <c r="C10" s="26">
        <f>D10/B10</f>
        <v>11.125863000000001</v>
      </c>
      <c r="D10" s="26">
        <f>-(6.34809*0.999)</f>
        <v>-6.3417419099999996</v>
      </c>
      <c r="E10" s="26"/>
      <c r="G10" s="26"/>
      <c r="H10" s="26"/>
      <c r="J10" s="26"/>
      <c r="N10" s="1"/>
      <c r="O10" s="47"/>
      <c r="P10" s="26"/>
      <c r="R10" s="18"/>
      <c r="S10" s="27"/>
      <c r="T10" s="27"/>
    </row>
    <row r="11" spans="2:22">
      <c r="C11" s="26"/>
      <c r="D11" s="26"/>
      <c r="E11" s="26"/>
      <c r="F11" t="s">
        <v>12</v>
      </c>
      <c r="G11" s="26">
        <f>(D12/B12)</f>
        <v>2.9506895332722731</v>
      </c>
      <c r="H11" s="26"/>
      <c r="J11" s="26"/>
      <c r="O11" s="26"/>
      <c r="P11" s="26">
        <f>(SUM(P6:P9))</f>
        <v>28.321870756356681</v>
      </c>
    </row>
    <row r="12" spans="2:22">
      <c r="B12" s="1">
        <f>(SUM(B5:B11))</f>
        <v>1.7236267600000001</v>
      </c>
      <c r="C12" s="26"/>
      <c r="D12" s="26">
        <f>(SUM(D5:D11))</f>
        <v>5.0858874400000005</v>
      </c>
      <c r="E12" s="26"/>
      <c r="G12" s="26"/>
      <c r="H12" s="26"/>
      <c r="J12" s="26"/>
    </row>
    <row r="14" spans="2:22">
      <c r="O14" s="26"/>
      <c r="P14" s="26"/>
    </row>
    <row r="15" spans="2:22">
      <c r="O15" s="26"/>
      <c r="P15" s="26"/>
    </row>
    <row r="20" spans="18:20">
      <c r="R20">
        <f>(SUM(R5:R19))</f>
        <v>2.2936267599999995</v>
      </c>
      <c r="T20" s="26">
        <f>(SUM(T5:T19))</f>
        <v>11.427683139999999</v>
      </c>
    </row>
  </sheetData>
  <conditionalFormatting sqref="C5 C8 G11 O8:O9 S5">
    <cfRule type="cellIs" dxfId="15" priority="11" operator="lessThan">
      <formula>$J$3</formula>
    </cfRule>
    <cfRule type="cellIs" dxfId="14" priority="12" operator="greaterThan">
      <formula>$J$3</formula>
    </cfRule>
  </conditionalFormatting>
  <conditionalFormatting sqref="O3">
    <cfRule type="cellIs" dxfId="13" priority="5" operator="greaterThan">
      <formula>$J$3</formula>
    </cfRule>
    <cfRule type="cellIs" dxfId="12" priority="6" operator="lessThan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R27" sqref="R27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  <col min="20" max="20" width="10.28515625" style="25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7">
        <v>0.5439125290814173</v>
      </c>
      <c r="M3" t="s">
        <v>4</v>
      </c>
      <c r="N3" s="18">
        <f>(INDEX(N5:N14,MATCH(MAX(O6:O7),O5:O14,0))/0.85)</f>
        <v>18.164705882352941</v>
      </c>
      <c r="O3" s="55">
        <f>(MAX(O6:O7)*0.75)</f>
        <v>0.42676158079663212</v>
      </c>
      <c r="P3" s="26">
        <f>(O3*N3)</f>
        <v>7.7519985970588232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16.883842414432959</v>
      </c>
      <c r="K4" s="4">
        <f>(J4/D14-1)</f>
        <v>6.2209259556386183</v>
      </c>
      <c r="R4" t="s">
        <v>5</v>
      </c>
      <c r="S4" t="s">
        <v>6</v>
      </c>
      <c r="T4" t="s">
        <v>7</v>
      </c>
    </row>
    <row r="5" spans="2:21">
      <c r="B5" s="18">
        <v>52.112819999999999</v>
      </c>
      <c r="C5" s="26">
        <f>(D5/B5)</f>
        <v>0.35691793305370928</v>
      </c>
      <c r="D5" s="26">
        <v>18.600000000000001</v>
      </c>
      <c r="N5" t="s">
        <v>30</v>
      </c>
      <c r="O5" t="s">
        <v>1</v>
      </c>
      <c r="P5" t="s">
        <v>2</v>
      </c>
      <c r="R5" s="18">
        <f>(SUM(B$5:B$7))</f>
        <v>54.448740649999998</v>
      </c>
      <c r="S5" s="26">
        <f>(T5/R5)</f>
        <v>0.35078864583436425</v>
      </c>
      <c r="T5" s="26">
        <f>(SUM(D5:D7))</f>
        <v>19.100000000000001</v>
      </c>
    </row>
    <row r="6" spans="2:21">
      <c r="B6" s="19">
        <v>0.87372917999999999</v>
      </c>
      <c r="C6" s="29">
        <v>0</v>
      </c>
      <c r="D6" s="29">
        <f>(B6*C6)</f>
        <v>0</v>
      </c>
      <c r="E6" s="26">
        <f>(B6*J3)</f>
        <v>0.47523224802603287</v>
      </c>
      <c r="M6" t="s">
        <v>10</v>
      </c>
      <c r="N6">
        <f>(-B8)</f>
        <v>10.76</v>
      </c>
      <c r="O6" s="26">
        <f>P6/N6</f>
        <v>0.46958153903345723</v>
      </c>
      <c r="P6" s="26">
        <f>(-D8)</f>
        <v>5.0526973599999998</v>
      </c>
      <c r="Q6" t="s">
        <v>11</v>
      </c>
      <c r="R6">
        <f>(B8)</f>
        <v>-10.76</v>
      </c>
      <c r="S6" s="26">
        <f>(C8)</f>
        <v>0.46958153903345723</v>
      </c>
      <c r="T6" s="26">
        <f>(D8)</f>
        <v>-5.0526973599999998</v>
      </c>
    </row>
    <row r="7" spans="2:21">
      <c r="B7" s="18">
        <v>1.46219147</v>
      </c>
      <c r="C7" s="26">
        <f>(D7/B7)</f>
        <v>0.34195248040942272</v>
      </c>
      <c r="D7" s="26">
        <v>0.5</v>
      </c>
      <c r="N7" s="18">
        <f>-B12</f>
        <v>15.44</v>
      </c>
      <c r="O7" s="26">
        <f>P7/N7</f>
        <v>0.56901544106217616</v>
      </c>
      <c r="P7" s="26">
        <f>-D12</f>
        <v>8.7855984100000004</v>
      </c>
      <c r="Q7" t="s">
        <v>11</v>
      </c>
      <c r="R7" s="18">
        <f>B9+B10+B11</f>
        <v>2.7927256000000007</v>
      </c>
      <c r="S7" s="26">
        <v>0</v>
      </c>
      <c r="T7" s="27">
        <f>D9+D10+D11</f>
        <v>-2.9235217699999998</v>
      </c>
      <c r="U7" s="27"/>
    </row>
    <row r="8" spans="2:21">
      <c r="B8">
        <v>-10.76</v>
      </c>
      <c r="C8" s="26">
        <f>(D8/B8)</f>
        <v>0.46958153903345723</v>
      </c>
      <c r="D8" s="26">
        <v>-5.0526973599999998</v>
      </c>
      <c r="N8" s="18">
        <f>(B$14/3)</f>
        <v>10.347155416666666</v>
      </c>
      <c r="O8" s="26">
        <f>($C$5*[1]Params!K10)</f>
        <v>0.78521945271816052</v>
      </c>
      <c r="P8" s="26">
        <f>(O8*N8)</f>
        <v>8.1247877134647499</v>
      </c>
      <c r="R8" s="18">
        <f>B12</f>
        <v>-15.44</v>
      </c>
      <c r="S8" s="27">
        <f>C12</f>
        <v>0.56901544106217616</v>
      </c>
      <c r="T8" s="27">
        <f>D12</f>
        <v>-8.7855984100000004</v>
      </c>
    </row>
    <row r="9" spans="2:21">
      <c r="B9">
        <v>-21.72</v>
      </c>
      <c r="C9" s="27">
        <f>D9/B9</f>
        <v>0.77456361740331492</v>
      </c>
      <c r="D9" s="26">
        <v>-16.823521769999999</v>
      </c>
      <c r="N9" s="18">
        <f>(B$14/3)</f>
        <v>10.347155416666666</v>
      </c>
      <c r="O9" s="26">
        <f>($C$5*[1]Params!K11)</f>
        <v>1.7845896652685465</v>
      </c>
      <c r="P9" s="26">
        <f>(O9*N9)</f>
        <v>18.465426621510794</v>
      </c>
    </row>
    <row r="10" spans="2:21">
      <c r="B10" s="18">
        <v>12.15260941</v>
      </c>
      <c r="C10" s="26">
        <f>D10/B10</f>
        <v>0.66076344010467125</v>
      </c>
      <c r="D10" s="26">
        <v>8.0299999999999994</v>
      </c>
    </row>
    <row r="11" spans="2:21">
      <c r="B11" s="18">
        <v>12.360116189999999</v>
      </c>
      <c r="C11" s="26">
        <f>D11/B11</f>
        <v>0.47491462942307505</v>
      </c>
      <c r="D11" s="26">
        <v>5.87</v>
      </c>
      <c r="P11" s="26">
        <f>(SUM(P6:P9))</f>
        <v>40.428510104975544</v>
      </c>
    </row>
    <row r="12" spans="2:21">
      <c r="B12" s="18">
        <v>-15.44</v>
      </c>
      <c r="C12" s="27">
        <f>D12/B12</f>
        <v>0.56901544106217616</v>
      </c>
      <c r="D12" s="26">
        <v>-8.7855984100000004</v>
      </c>
    </row>
    <row r="13" spans="2:21">
      <c r="F13" t="s">
        <v>12</v>
      </c>
      <c r="G13" s="26">
        <f>(D14/B14)</f>
        <v>7.5324485034594671E-2</v>
      </c>
    </row>
    <row r="14" spans="2:21">
      <c r="B14" s="18">
        <f>(SUM(B5:B13))</f>
        <v>31.041466249999999</v>
      </c>
      <c r="D14" s="26">
        <f>(SUM(D5:D13))</f>
        <v>2.3381824600000005</v>
      </c>
    </row>
    <row r="18" spans="12:20">
      <c r="R18">
        <f>(SUM(R5:R17))</f>
        <v>31.041466249999999</v>
      </c>
      <c r="T18" s="26">
        <f>(SUM(T5:T17))</f>
        <v>2.3381824600000005</v>
      </c>
    </row>
    <row r="22" spans="12:20">
      <c r="L22" s="27"/>
    </row>
    <row r="25" spans="12:20">
      <c r="N25" s="18"/>
    </row>
  </sheetData>
  <conditionalFormatting sqref="C5 C7 C10:C11 G13 O8:O9 S5">
    <cfRule type="cellIs" dxfId="11" priority="15" operator="lessThan">
      <formula>$J$3</formula>
    </cfRule>
    <cfRule type="cellIs" dxfId="10" priority="16" operator="greaterThan">
      <formula>$J$3</formula>
    </cfRule>
  </conditionalFormatting>
  <conditionalFormatting sqref="O3">
    <cfRule type="cellIs" dxfId="9" priority="9" operator="greaterThan">
      <formula>$J$3</formula>
    </cfRule>
    <cfRule type="cellIs" dxfId="8" priority="10" operator="lessThan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N7" sqref="N7"/>
    </sheetView>
  </sheetViews>
  <sheetFormatPr baseColWidth="10" defaultColWidth="9.140625" defaultRowHeight="15"/>
  <cols>
    <col min="1" max="3" width="9.140625" style="25" customWidth="1"/>
    <col min="4" max="4" width="10.28515625" style="25" bestFit="1" customWidth="1"/>
    <col min="5" max="8" width="9.140625" style="25" customWidth="1"/>
    <col min="9" max="9" width="12.42578125" style="25" bestFit="1" customWidth="1"/>
    <col min="10" max="13" width="9.140625" style="25" customWidth="1"/>
    <col min="14" max="14" width="10.140625" style="25" bestFit="1" customWidth="1"/>
    <col min="15" max="15" width="11.28515625" style="25" bestFit="1" customWidth="1"/>
    <col min="16" max="19" width="9.140625" style="25" customWidth="1"/>
    <col min="20" max="20" width="10.28515625" style="25" bestFit="1" customWidth="1"/>
    <col min="21" max="356" width="9.140625" style="25" customWidth="1"/>
    <col min="357" max="16384" width="9.140625" style="25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7">
        <v>16.952606875873659</v>
      </c>
      <c r="M3" t="s">
        <v>4</v>
      </c>
      <c r="N3" s="18">
        <f>(INDEX(N5:N14,MATCH(MAX(O6),O5:O14,0))/0.85)</f>
        <v>0.3411764705882353</v>
      </c>
      <c r="O3" s="55">
        <f>(MAX(O6)*0.75)</f>
        <v>12.669672879310347</v>
      </c>
      <c r="P3" s="26">
        <f>(O3*N3)</f>
        <v>4.3225942764705891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21.313379682318434</v>
      </c>
      <c r="K4" s="4">
        <f>(J4/D14-1)</f>
        <v>0.41138303777134722</v>
      </c>
      <c r="R4" t="s">
        <v>5</v>
      </c>
      <c r="S4" t="s">
        <v>6</v>
      </c>
      <c r="T4" t="s">
        <v>7</v>
      </c>
    </row>
    <row r="5" spans="2:21">
      <c r="B5" s="1">
        <v>1.54269174</v>
      </c>
      <c r="C5" s="26">
        <f>(D5/B5)</f>
        <v>12.964352813608764</v>
      </c>
      <c r="D5" s="26">
        <v>20</v>
      </c>
      <c r="N5" t="s">
        <v>30</v>
      </c>
      <c r="O5" t="s">
        <v>1</v>
      </c>
      <c r="P5" t="s">
        <v>2</v>
      </c>
      <c r="R5" s="1">
        <f>B5+B7</f>
        <v>1.2526917399999999</v>
      </c>
      <c r="S5" s="26">
        <f>(T5/R5)</f>
        <v>12.998835611385129</v>
      </c>
      <c r="T5" s="26">
        <f>D5+B7*12.8154</f>
        <v>16.283534</v>
      </c>
    </row>
    <row r="6" spans="2:21">
      <c r="B6" s="2">
        <v>4.5414299999999999E-3</v>
      </c>
      <c r="C6" s="29">
        <v>0</v>
      </c>
      <c r="D6" s="29">
        <f>(B6*C6)</f>
        <v>0</v>
      </c>
      <c r="E6" s="26">
        <f>(B6*J3)</f>
        <v>7.6989077444298906E-2</v>
      </c>
      <c r="M6" t="s">
        <v>10</v>
      </c>
      <c r="N6" s="1">
        <f>-B7</f>
        <v>0.28999999999999998</v>
      </c>
      <c r="O6" s="26">
        <f>P6/N6</f>
        <v>16.892897172413797</v>
      </c>
      <c r="P6" s="26">
        <f>-D7</f>
        <v>4.8989401800000003</v>
      </c>
      <c r="Q6" t="s">
        <v>11</v>
      </c>
      <c r="R6" s="2">
        <f>(B6)</f>
        <v>4.5414299999999999E-3</v>
      </c>
      <c r="S6" s="29">
        <f>(C6)</f>
        <v>0</v>
      </c>
      <c r="T6" s="29">
        <f>(D6)</f>
        <v>0</v>
      </c>
    </row>
    <row r="7" spans="2:21">
      <c r="B7" s="1">
        <v>-0.28999999999999998</v>
      </c>
      <c r="C7" s="26">
        <f>D7/B7</f>
        <v>16.892897172413797</v>
      </c>
      <c r="D7" s="26">
        <v>-4.8989401800000003</v>
      </c>
      <c r="N7" s="1">
        <f>2*(B$14+$N$6)/5-$N$6</f>
        <v>0.32889326800000002</v>
      </c>
      <c r="O7" s="26">
        <f>($S$5*[1]Params!K9)</f>
        <v>20.798136978216206</v>
      </c>
      <c r="P7" s="26">
        <f>(O7*N7)</f>
        <v>6.8403672390771728</v>
      </c>
      <c r="R7" s="1">
        <f>B7-B7</f>
        <v>0</v>
      </c>
      <c r="S7" s="26">
        <v>0</v>
      </c>
      <c r="T7" s="27">
        <f>D7+N6*12.8154</f>
        <v>-1.1824741800000003</v>
      </c>
      <c r="U7" s="27"/>
    </row>
    <row r="8" spans="2:21">
      <c r="C8" s="26"/>
      <c r="D8" s="26"/>
      <c r="N8" s="1">
        <f>(B$14-$B$7)/5</f>
        <v>0.309446634</v>
      </c>
      <c r="O8" s="26">
        <f>($S$5*[1]Params!K10)</f>
        <v>28.597438345047287</v>
      </c>
      <c r="P8" s="26">
        <f>(O8*N8)</f>
        <v>8.8493810368974142</v>
      </c>
      <c r="R8" s="18"/>
      <c r="S8" s="27"/>
      <c r="T8" s="27"/>
    </row>
    <row r="9" spans="2:21">
      <c r="C9" s="27"/>
      <c r="D9" s="26"/>
      <c r="N9" s="1">
        <f>(B$14-$B$7)/5</f>
        <v>0.309446634</v>
      </c>
      <c r="O9" s="26">
        <f>($S$5*[1]Params!K11)</f>
        <v>64.994178056925648</v>
      </c>
      <c r="P9" s="26">
        <f>(O9*N9)</f>
        <v>20.112229629312303</v>
      </c>
    </row>
    <row r="10" spans="2:21">
      <c r="B10" s="18"/>
      <c r="C10" s="26"/>
      <c r="D10" s="26"/>
    </row>
    <row r="11" spans="2:21">
      <c r="B11" s="18"/>
      <c r="C11" s="26"/>
      <c r="D11" s="26"/>
      <c r="P11" s="26">
        <f>(SUM(P6:P9))</f>
        <v>40.700918085286887</v>
      </c>
    </row>
    <row r="12" spans="2:21">
      <c r="B12" s="18"/>
      <c r="C12" s="27"/>
      <c r="D12" s="26"/>
    </row>
    <row r="13" spans="2:21">
      <c r="F13" t="s">
        <v>12</v>
      </c>
      <c r="G13" s="26">
        <f>(D14/B14)</f>
        <v>12.011343782792496</v>
      </c>
    </row>
    <row r="14" spans="2:21">
      <c r="B14" s="18">
        <f>(SUM(B5:B13))</f>
        <v>1.2572331699999999</v>
      </c>
      <c r="D14" s="26">
        <f>(SUM(D5:D13))</f>
        <v>15.10105982</v>
      </c>
    </row>
    <row r="18" spans="12:20">
      <c r="R18">
        <f>(SUM(R5:R17))</f>
        <v>1.2572331699999999</v>
      </c>
      <c r="T18" s="26">
        <f>(SUM(T5:T17))</f>
        <v>15.10105982</v>
      </c>
    </row>
    <row r="22" spans="12:20">
      <c r="L22" s="27"/>
    </row>
    <row r="25" spans="12:20">
      <c r="N25" s="18"/>
    </row>
  </sheetData>
  <conditionalFormatting sqref="C5 G13 O7:O9 S5">
    <cfRule type="cellIs" dxfId="7" priority="7" operator="lessThan">
      <formula>$J$3</formula>
    </cfRule>
    <cfRule type="cellIs" dxfId="6" priority="8" operator="greaterThan">
      <formula>$J$3</formula>
    </cfRule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3">
    <cfRule type="cellIs" dxfId="3" priority="1" operator="greaterThan">
      <formula>$J$3</formula>
    </cfRule>
    <cfRule type="cellIs" dxfId="2" priority="2" operator="lessThan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S30" sqref="S30"/>
    </sheetView>
  </sheetViews>
  <sheetFormatPr baseColWidth="10" defaultColWidth="9.140625" defaultRowHeight="15"/>
  <cols>
    <col min="1" max="3" width="9.140625" style="25" customWidth="1"/>
    <col min="4" max="4" width="10.28515625" style="25" bestFit="1" customWidth="1"/>
    <col min="5" max="8" width="9.140625" style="25" customWidth="1"/>
    <col min="9" max="9" width="12.42578125" style="25" bestFit="1" customWidth="1"/>
    <col min="10" max="13" width="9.140625" style="25" customWidth="1"/>
    <col min="14" max="14" width="10.140625" style="25" bestFit="1" customWidth="1"/>
    <col min="15" max="15" width="11.28515625" style="25" bestFit="1" customWidth="1"/>
    <col min="16" max="19" width="9.140625" style="25" customWidth="1"/>
    <col min="20" max="20" width="10.28515625" style="25" bestFit="1" customWidth="1"/>
    <col min="21" max="356" width="9.140625" style="25" customWidth="1"/>
    <col min="357" max="16384" width="9.140625" style="25"/>
  </cols>
  <sheetData>
    <row r="3" spans="2:21">
      <c r="I3" t="s">
        <v>3</v>
      </c>
      <c r="J3" s="47">
        <v>3.4153318531578529</v>
      </c>
      <c r="N3" s="18"/>
      <c r="O3" s="55"/>
      <c r="P3" s="26"/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22.785718462752062</v>
      </c>
      <c r="K4" s="4">
        <f>(J4/D14-1)</f>
        <v>0.13928592313760313</v>
      </c>
      <c r="R4" t="s">
        <v>5</v>
      </c>
      <c r="S4" t="s">
        <v>6</v>
      </c>
      <c r="T4" t="s">
        <v>7</v>
      </c>
    </row>
    <row r="5" spans="2:21">
      <c r="B5" s="1">
        <v>6.6706544599999997</v>
      </c>
      <c r="C5" s="26">
        <f>(D5/B5)</f>
        <v>2.9982065657767558</v>
      </c>
      <c r="D5" s="26">
        <v>20</v>
      </c>
      <c r="N5" t="s">
        <v>30</v>
      </c>
      <c r="O5" t="s">
        <v>1</v>
      </c>
      <c r="P5" t="s">
        <v>2</v>
      </c>
      <c r="R5" s="18">
        <f>B5</f>
        <v>6.6706544599999997</v>
      </c>
      <c r="S5" s="26">
        <f>(T5/R5)</f>
        <v>2.9982065657767558</v>
      </c>
      <c r="T5" s="26">
        <f>D5</f>
        <v>20</v>
      </c>
    </row>
    <row r="6" spans="2:21">
      <c r="B6" s="2">
        <v>9.4275000000000001E-4</v>
      </c>
      <c r="C6" s="29">
        <v>0</v>
      </c>
      <c r="D6" s="29">
        <f>(B6*C6)</f>
        <v>0</v>
      </c>
      <c r="E6" s="26">
        <f>(B6*J3)</f>
        <v>3.2198041045645659E-3</v>
      </c>
      <c r="M6" t="s">
        <v>10</v>
      </c>
      <c r="N6" s="18">
        <f>(B$14/5)</f>
        <v>1.334319442</v>
      </c>
      <c r="O6" s="26">
        <f>($C$5*[1]Params!K8)</f>
        <v>3.8976685355097827</v>
      </c>
      <c r="P6" s="26">
        <f>(O6*N6)</f>
        <v>5.2007349054023706</v>
      </c>
      <c r="R6" s="18">
        <f>(B6)</f>
        <v>9.4275000000000001E-4</v>
      </c>
      <c r="S6" s="26">
        <f>(C6)</f>
        <v>0</v>
      </c>
      <c r="T6" s="26">
        <f>(D6)</f>
        <v>0</v>
      </c>
    </row>
    <row r="7" spans="2:21">
      <c r="B7" s="18"/>
      <c r="C7" s="26"/>
      <c r="D7" s="26"/>
      <c r="N7" s="18">
        <f>(B$14/5)</f>
        <v>1.334319442</v>
      </c>
      <c r="O7" s="26">
        <f>($C$5*[1]Params!K9)</f>
        <v>4.7971305052428095</v>
      </c>
      <c r="P7" s="26">
        <f>(O7*N7)</f>
        <v>6.4009044989567636</v>
      </c>
      <c r="R7" s="18"/>
      <c r="S7" s="26"/>
      <c r="T7" s="27"/>
      <c r="U7" s="27"/>
    </row>
    <row r="8" spans="2:21">
      <c r="C8" s="26"/>
      <c r="D8" s="26"/>
      <c r="N8" s="18">
        <f>(B$14/5)</f>
        <v>1.334319442</v>
      </c>
      <c r="O8" s="26">
        <f>($C$5*[1]Params!K10)</f>
        <v>6.5960544447088632</v>
      </c>
      <c r="P8" s="26">
        <f>(O8*N8)</f>
        <v>8.8012436860655505</v>
      </c>
      <c r="R8" s="18"/>
      <c r="S8" s="27"/>
      <c r="T8" s="27"/>
    </row>
    <row r="9" spans="2:21">
      <c r="C9" s="27"/>
      <c r="D9" s="26"/>
      <c r="N9" s="18">
        <f>(B$14/5)</f>
        <v>1.334319442</v>
      </c>
      <c r="O9" s="26">
        <f>($C$5*[1]Params!K11)</f>
        <v>14.991032828883778</v>
      </c>
      <c r="P9" s="26">
        <f>(O9*N9)</f>
        <v>20.002826559239885</v>
      </c>
    </row>
    <row r="10" spans="2:21">
      <c r="B10" s="18"/>
      <c r="C10" s="26"/>
      <c r="D10" s="26"/>
    </row>
    <row r="11" spans="2:21">
      <c r="B11" s="18"/>
      <c r="C11" s="26"/>
      <c r="D11" s="26"/>
      <c r="P11" s="26">
        <f>(SUM(P6:P9))</f>
        <v>40.405709649664573</v>
      </c>
    </row>
    <row r="12" spans="2:21">
      <c r="B12" s="18"/>
      <c r="C12" s="27"/>
      <c r="D12" s="26"/>
    </row>
    <row r="13" spans="2:21">
      <c r="F13" t="s">
        <v>12</v>
      </c>
      <c r="G13" s="26">
        <f>(D14/B14)</f>
        <v>2.9977828952296717</v>
      </c>
    </row>
    <row r="14" spans="2:21">
      <c r="B14" s="18">
        <f>(SUM(B5:B13))</f>
        <v>6.6715972099999998</v>
      </c>
      <c r="D14" s="26">
        <f>(SUM(D5:D13))</f>
        <v>20</v>
      </c>
    </row>
    <row r="18" spans="12:20">
      <c r="R18">
        <f>(SUM(R5:R17))</f>
        <v>6.6715972099999998</v>
      </c>
      <c r="T18" s="26">
        <f>(SUM(T5:T17))</f>
        <v>20</v>
      </c>
    </row>
    <row r="22" spans="12:20">
      <c r="L22" s="27"/>
    </row>
    <row r="25" spans="12:20">
      <c r="N25" s="18"/>
    </row>
  </sheetData>
  <conditionalFormatting sqref="C5 G13 O6:O9 S5">
    <cfRule type="cellIs" dxfId="1" priority="3" operator="lessThan">
      <formula>$J$3</formula>
    </cfRule>
    <cfRule type="cellIs" dxfId="0" priority="4" operator="greaterThan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A34" sqref="A34:XFD34"/>
    </sheetView>
  </sheetViews>
  <sheetFormatPr baseColWidth="10" defaultColWidth="9.140625" defaultRowHeight="15"/>
  <cols>
    <col min="4" max="4" width="11" style="25" bestFit="1" customWidth="1"/>
    <col min="9" max="9" width="12.42578125" style="25" bestFit="1" customWidth="1"/>
    <col min="14" max="15" width="11.28515625" style="25" bestFit="1" customWidth="1"/>
  </cols>
  <sheetData>
    <row r="3" spans="2:16">
      <c r="I3" t="s">
        <v>3</v>
      </c>
      <c r="J3" s="26">
        <v>0.43166268350392278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(B9*J3)</f>
        <v>2.6261494339011655</v>
      </c>
      <c r="K4" s="4">
        <f>(J4/D9-1)</f>
        <v>-0.90902756338806645</v>
      </c>
    </row>
    <row r="5" spans="2:16">
      <c r="B5" s="18">
        <v>1.5469999999999999</v>
      </c>
      <c r="C5" s="26">
        <v>10</v>
      </c>
      <c r="D5" s="26">
        <f>(B5*C5)</f>
        <v>15.469999999999999</v>
      </c>
      <c r="N5" t="s">
        <v>1</v>
      </c>
      <c r="O5" t="s">
        <v>30</v>
      </c>
      <c r="P5" t="s">
        <v>2</v>
      </c>
    </row>
    <row r="6" spans="2:16">
      <c r="B6" s="18">
        <v>2.5367999999999999</v>
      </c>
      <c r="C6" s="26">
        <v>3.9409999999999998</v>
      </c>
      <c r="D6" s="26">
        <f>(B6*C6)</f>
        <v>9.9975287999999995</v>
      </c>
      <c r="M6" t="s">
        <v>4</v>
      </c>
      <c r="N6">
        <f>(INDEX(B5:B8,MATCH(O6/2,C5:C8,0)))</f>
        <v>2</v>
      </c>
      <c r="O6" s="26">
        <f>(MIN(C5:C8)*2)</f>
        <v>3.4</v>
      </c>
      <c r="P6" s="26">
        <f>(O6*N6/2)</f>
        <v>3.4</v>
      </c>
    </row>
    <row r="7" spans="2:16">
      <c r="B7" s="18">
        <v>2</v>
      </c>
      <c r="C7" s="26">
        <v>1.7</v>
      </c>
      <c r="D7" s="26">
        <f>(B7*C7)</f>
        <v>3.4</v>
      </c>
    </row>
    <row r="8" spans="2:16">
      <c r="F8" t="s">
        <v>12</v>
      </c>
      <c r="G8" s="26">
        <f>(SUM(D5:D8)/SUM(B5:B8))</f>
        <v>4.744983201288667</v>
      </c>
    </row>
    <row r="9" spans="2:16">
      <c r="B9" s="18">
        <f>(SUM(B5:B8))</f>
        <v>6.0838000000000001</v>
      </c>
      <c r="D9" s="26">
        <f>(SUM(D5:D8))</f>
        <v>28.867528799999995</v>
      </c>
    </row>
    <row r="10" spans="2:16">
      <c r="D10" s="26"/>
      <c r="N10" t="s">
        <v>30</v>
      </c>
      <c r="O10" t="s">
        <v>1</v>
      </c>
      <c r="P10" t="s">
        <v>2</v>
      </c>
    </row>
    <row r="11" spans="2:16">
      <c r="M11" t="s">
        <v>10</v>
      </c>
      <c r="N11">
        <f>($B$5/5)</f>
        <v>0.30940000000000001</v>
      </c>
      <c r="O11" s="26">
        <f>($C$5*[1]Params!K8)</f>
        <v>13</v>
      </c>
      <c r="P11" s="26">
        <f>(O11*N11)</f>
        <v>4.0221999999999998</v>
      </c>
    </row>
    <row r="12" spans="2:16">
      <c r="N12">
        <f>($B$5/5)</f>
        <v>0.30940000000000001</v>
      </c>
      <c r="O12" s="26">
        <f>($C$5*[1]Params!K9)</f>
        <v>16</v>
      </c>
      <c r="P12" s="26">
        <f>(O12*N12)</f>
        <v>4.9504000000000001</v>
      </c>
    </row>
    <row r="13" spans="2:16">
      <c r="N13">
        <f>($B$5/5)</f>
        <v>0.30940000000000001</v>
      </c>
      <c r="O13" s="26">
        <f>($C$5*[1]Params!K10)</f>
        <v>22</v>
      </c>
      <c r="P13" s="26">
        <f>(O13*N13)</f>
        <v>6.8068</v>
      </c>
    </row>
    <row r="14" spans="2:16">
      <c r="N14">
        <f>($B$5/5)</f>
        <v>0.30940000000000001</v>
      </c>
      <c r="O14" s="26">
        <f>($C$5*[1]Params!K11)</f>
        <v>50</v>
      </c>
      <c r="P14" s="26">
        <f>(O14*N14)</f>
        <v>15.47</v>
      </c>
    </row>
    <row r="17" spans="13:16">
      <c r="P17" s="26">
        <f>(SUM(P11:P14))</f>
        <v>31.249400000000001</v>
      </c>
    </row>
    <row r="19" spans="13:16">
      <c r="N19" t="s">
        <v>30</v>
      </c>
      <c r="O19" t="s">
        <v>1</v>
      </c>
      <c r="P19" t="s">
        <v>2</v>
      </c>
    </row>
    <row r="20" spans="13:16">
      <c r="M20" t="s">
        <v>10</v>
      </c>
      <c r="N20">
        <f>($B$6/5)</f>
        <v>0.50736000000000003</v>
      </c>
      <c r="O20" s="26">
        <f>($C$6*[1]Params!K8)</f>
        <v>5.1232999999999995</v>
      </c>
      <c r="P20" s="26">
        <f>(O20*N20)</f>
        <v>2.5993574879999999</v>
      </c>
    </row>
    <row r="21" spans="13:16">
      <c r="N21">
        <f>($B$6/5)</f>
        <v>0.50736000000000003</v>
      </c>
      <c r="O21" s="26">
        <f>($C$6*[1]Params!K9)</f>
        <v>6.3056000000000001</v>
      </c>
      <c r="P21" s="26">
        <f>(O21*N21)</f>
        <v>3.1992092160000003</v>
      </c>
    </row>
    <row r="22" spans="13:16">
      <c r="N22">
        <f>($B$6/5)</f>
        <v>0.50736000000000003</v>
      </c>
      <c r="O22" s="26">
        <f>($C$6*[1]Params!K10)</f>
        <v>8.6701999999999995</v>
      </c>
      <c r="P22" s="26">
        <f>(O22*N22)</f>
        <v>4.3989126719999998</v>
      </c>
    </row>
    <row r="23" spans="13:16">
      <c r="N23">
        <f>($B$6/5)</f>
        <v>0.50736000000000003</v>
      </c>
      <c r="O23" s="26">
        <f>($C$6*[1]Params!K11)</f>
        <v>19.704999999999998</v>
      </c>
      <c r="P23" s="26">
        <f>(O23*N23)</f>
        <v>9.9975287999999995</v>
      </c>
    </row>
    <row r="26" spans="13:16">
      <c r="P26" s="26">
        <f>(SUM(P20:P23))</f>
        <v>20.195008176000002</v>
      </c>
    </row>
    <row r="28" spans="13:16">
      <c r="N28" t="s">
        <v>30</v>
      </c>
      <c r="O28" t="s">
        <v>1</v>
      </c>
      <c r="P28" t="s">
        <v>2</v>
      </c>
    </row>
    <row r="29" spans="13:16">
      <c r="M29" t="s">
        <v>10</v>
      </c>
      <c r="N29">
        <f>($B$7/5)</f>
        <v>0.4</v>
      </c>
      <c r="O29" s="26">
        <f>($C$7*[1]Params!K8)</f>
        <v>2.21</v>
      </c>
      <c r="P29" s="26">
        <f>(O29*N29)</f>
        <v>0.88400000000000001</v>
      </c>
    </row>
    <row r="30" spans="13:16">
      <c r="N30">
        <f>($B$7/5)</f>
        <v>0.4</v>
      </c>
      <c r="O30" s="26">
        <f>($C$7*[1]Params!K9)</f>
        <v>2.72</v>
      </c>
      <c r="P30" s="26">
        <f>(O30*N30)</f>
        <v>1.0880000000000001</v>
      </c>
    </row>
    <row r="31" spans="13:16">
      <c r="N31">
        <f>($B$7/5)</f>
        <v>0.4</v>
      </c>
      <c r="O31" s="26">
        <f>($C$7*[1]Params!K10)</f>
        <v>3.74</v>
      </c>
      <c r="P31" s="26">
        <f>(O31*N31)</f>
        <v>1.4960000000000002</v>
      </c>
    </row>
    <row r="32" spans="13:16">
      <c r="N32">
        <f>($B$7/5)</f>
        <v>0.4</v>
      </c>
      <c r="O32" s="26">
        <f>($C$7*[1]Params!K11)</f>
        <v>8.5</v>
      </c>
      <c r="P32" s="26">
        <f>(O32*N32)</f>
        <v>3.4000000000000004</v>
      </c>
    </row>
    <row r="35" spans="16:16">
      <c r="P35" s="26">
        <f>(SUM(P29:P32))</f>
        <v>6.8680000000000003</v>
      </c>
    </row>
  </sheetData>
  <conditionalFormatting sqref="C5:C7 O6 O11:O14 O20:O23 O29:O32">
    <cfRule type="cellIs" dxfId="269" priority="9" operator="lessThan">
      <formula>$J$3</formula>
    </cfRule>
    <cfRule type="cellIs" dxfId="268" priority="10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V77"/>
  <sheetViews>
    <sheetView workbookViewId="0">
      <selection activeCell="L44" sqref="L44"/>
    </sheetView>
  </sheetViews>
  <sheetFormatPr baseColWidth="10" defaultColWidth="9.140625" defaultRowHeight="15"/>
  <cols>
    <col min="2" max="2" width="12.5703125" style="25" bestFit="1" customWidth="1"/>
    <col min="3" max="3" width="9.7109375" style="25" bestFit="1" customWidth="1"/>
    <col min="5" max="5" width="9.7109375" style="25" customWidth="1"/>
    <col min="6" max="6" width="11" style="25" bestFit="1" customWidth="1"/>
    <col min="7" max="7" width="17.140625" style="25" bestFit="1" customWidth="1"/>
    <col min="9" max="9" width="18.140625" style="25" bestFit="1" customWidth="1"/>
    <col min="10" max="10" width="12.7109375" style="25" bestFit="1" customWidth="1"/>
    <col min="11" max="11" width="12" style="25" bestFit="1" customWidth="1"/>
    <col min="15" max="15" width="9.5703125" style="25" bestFit="1" customWidth="1"/>
    <col min="16" max="16" width="10" style="25" bestFit="1" customWidth="1"/>
  </cols>
  <sheetData>
    <row r="2" spans="2:14">
      <c r="G2" t="s">
        <v>31</v>
      </c>
      <c r="H2">
        <v>745</v>
      </c>
    </row>
    <row r="3" spans="2:14">
      <c r="B3" s="5" t="s">
        <v>32</v>
      </c>
      <c r="C3" s="6"/>
      <c r="D3" s="6"/>
      <c r="E3" s="6"/>
      <c r="F3" s="7"/>
      <c r="I3" t="s">
        <v>33</v>
      </c>
      <c r="J3" s="35">
        <v>5.3910621263012042E-3</v>
      </c>
    </row>
    <row r="4" spans="2:14">
      <c r="B4" s="8"/>
      <c r="C4" t="s">
        <v>6</v>
      </c>
      <c r="D4" t="s">
        <v>34</v>
      </c>
      <c r="E4" t="s">
        <v>35</v>
      </c>
      <c r="F4" s="9" t="s">
        <v>36</v>
      </c>
      <c r="I4" t="s">
        <v>37</v>
      </c>
      <c r="J4">
        <v>6.1439999999999997E-4</v>
      </c>
      <c r="K4" t="s">
        <v>38</v>
      </c>
      <c r="N4" t="s">
        <v>39</v>
      </c>
    </row>
    <row r="5" spans="2:14">
      <c r="B5" s="8" t="s">
        <v>40</v>
      </c>
      <c r="C5" s="29">
        <v>135</v>
      </c>
      <c r="D5" s="26">
        <v>3.5</v>
      </c>
      <c r="E5" s="27">
        <f t="shared" ref="E5:E29" si="0">C5+D5</f>
        <v>138.5</v>
      </c>
      <c r="F5" s="9" t="s">
        <v>41</v>
      </c>
      <c r="I5" t="s">
        <v>42</v>
      </c>
      <c r="J5">
        <v>2.1503999999999998E-3</v>
      </c>
      <c r="K5" t="s">
        <v>38</v>
      </c>
      <c r="N5">
        <v>0.77180000000000004</v>
      </c>
    </row>
    <row r="6" spans="2:14">
      <c r="B6" s="8" t="s">
        <v>43</v>
      </c>
      <c r="C6" s="29">
        <v>18</v>
      </c>
      <c r="D6" s="26">
        <v>3.5</v>
      </c>
      <c r="E6" s="27">
        <f t="shared" si="0"/>
        <v>21.5</v>
      </c>
      <c r="F6" s="9" t="s">
        <v>41</v>
      </c>
      <c r="I6" t="s">
        <v>44</v>
      </c>
      <c r="J6">
        <v>1.4335999999999999E-3</v>
      </c>
      <c r="K6" t="s">
        <v>38</v>
      </c>
    </row>
    <row r="7" spans="2:14">
      <c r="B7" s="8" t="s">
        <v>45</v>
      </c>
      <c r="C7" s="26">
        <v>18</v>
      </c>
      <c r="D7" s="26">
        <v>3.5</v>
      </c>
      <c r="E7" s="27">
        <f t="shared" si="0"/>
        <v>21.5</v>
      </c>
      <c r="F7" s="9" t="s">
        <v>41</v>
      </c>
      <c r="I7" t="s">
        <v>46</v>
      </c>
      <c r="J7">
        <v>1.7408E-3</v>
      </c>
      <c r="K7" t="s">
        <v>38</v>
      </c>
    </row>
    <row r="8" spans="2:14">
      <c r="B8" s="8" t="s">
        <v>47</v>
      </c>
      <c r="C8" s="26">
        <v>55</v>
      </c>
      <c r="D8" s="26">
        <v>3.5</v>
      </c>
      <c r="E8" s="27">
        <f t="shared" si="0"/>
        <v>58.5</v>
      </c>
      <c r="F8" s="9" t="s">
        <v>41</v>
      </c>
    </row>
    <row r="9" spans="2:14">
      <c r="B9" s="8" t="s">
        <v>47</v>
      </c>
      <c r="C9" s="26">
        <v>-134.99</v>
      </c>
      <c r="D9" s="26">
        <v>0.01</v>
      </c>
      <c r="E9" s="27">
        <f t="shared" si="0"/>
        <v>-134.98000000000002</v>
      </c>
      <c r="F9" s="9" t="s">
        <v>48</v>
      </c>
    </row>
    <row r="10" spans="2:14">
      <c r="B10" s="8" t="s">
        <v>47</v>
      </c>
      <c r="C10" s="26">
        <v>125</v>
      </c>
      <c r="D10" s="26">
        <f>0.002*151</f>
        <v>0.30199999999999999</v>
      </c>
      <c r="E10" s="27">
        <f t="shared" si="0"/>
        <v>125.30200000000001</v>
      </c>
      <c r="F10" s="9" t="s">
        <v>41</v>
      </c>
    </row>
    <row r="11" spans="2:14">
      <c r="B11" s="8" t="s">
        <v>47</v>
      </c>
      <c r="C11" s="26">
        <v>-144.96</v>
      </c>
      <c r="D11" s="26">
        <v>0.01</v>
      </c>
      <c r="E11" s="27">
        <f t="shared" si="0"/>
        <v>-144.95000000000002</v>
      </c>
      <c r="F11" s="9" t="s">
        <v>48</v>
      </c>
    </row>
    <row r="12" spans="2:14">
      <c r="B12" s="8" t="s">
        <v>47</v>
      </c>
      <c r="C12" s="26">
        <v>130</v>
      </c>
      <c r="D12" s="26">
        <f>0.002*151</f>
        <v>0.30199999999999999</v>
      </c>
      <c r="E12" s="27">
        <f t="shared" si="0"/>
        <v>130.30199999999999</v>
      </c>
      <c r="F12" s="9" t="s">
        <v>41</v>
      </c>
      <c r="I12" t="s">
        <v>49</v>
      </c>
      <c r="J12" s="26">
        <f>(SUM(D5:E8))</f>
        <v>254</v>
      </c>
    </row>
    <row r="13" spans="2:14">
      <c r="B13" s="8" t="s">
        <v>47</v>
      </c>
      <c r="C13" s="26">
        <v>-144.94999999999999</v>
      </c>
      <c r="D13" s="26">
        <v>0.01</v>
      </c>
      <c r="E13" s="27">
        <f t="shared" si="0"/>
        <v>-144.94</v>
      </c>
      <c r="F13" s="9" t="s">
        <v>48</v>
      </c>
      <c r="I13" t="s">
        <v>50</v>
      </c>
      <c r="J13" s="26">
        <f>(SUM(K35:K43)-C77*J3+D77)</f>
        <v>8.5626767865207718</v>
      </c>
    </row>
    <row r="14" spans="2:14">
      <c r="B14" s="8" t="s">
        <v>47</v>
      </c>
      <c r="C14" s="26">
        <v>130</v>
      </c>
      <c r="D14" s="26">
        <f>0.01</f>
        <v>0.01</v>
      </c>
      <c r="E14" s="27">
        <f t="shared" si="0"/>
        <v>130.01</v>
      </c>
      <c r="F14" s="9" t="s">
        <v>41</v>
      </c>
      <c r="I14" t="s">
        <v>51</v>
      </c>
      <c r="J14" s="26">
        <f>(-SUM(E9:E31))</f>
        <v>-7.0166399999999376</v>
      </c>
      <c r="K14" s="27">
        <f>(J14-M38-M39-M40-M42-L43)</f>
        <v>-63.516639999999938</v>
      </c>
    </row>
    <row r="15" spans="2:14">
      <c r="B15" s="8" t="s">
        <v>47</v>
      </c>
      <c r="C15" s="26">
        <v>-144.97999999999999</v>
      </c>
      <c r="D15" s="26">
        <v>0.01</v>
      </c>
      <c r="E15" s="27">
        <f t="shared" si="0"/>
        <v>-144.97</v>
      </c>
      <c r="F15" s="9" t="s">
        <v>48</v>
      </c>
      <c r="I15" t="s">
        <v>35</v>
      </c>
      <c r="J15" s="26">
        <f>(J13-J12+J14)</f>
        <v>-252.45396321347917</v>
      </c>
    </row>
    <row r="16" spans="2:14">
      <c r="B16" s="8" t="s">
        <v>47</v>
      </c>
      <c r="C16" s="26">
        <v>130</v>
      </c>
      <c r="D16" s="26">
        <f>0.01</f>
        <v>0.01</v>
      </c>
      <c r="E16" s="27">
        <f t="shared" si="0"/>
        <v>130.01</v>
      </c>
      <c r="F16" s="9" t="s">
        <v>41</v>
      </c>
      <c r="I16" t="s">
        <v>52</v>
      </c>
      <c r="J16" s="26">
        <f>(J15+M47)</f>
        <v>-124.20396321347917</v>
      </c>
    </row>
    <row r="17" spans="2:18">
      <c r="B17" s="8" t="s">
        <v>45</v>
      </c>
      <c r="C17" s="26">
        <v>19.73</v>
      </c>
      <c r="D17" s="26">
        <v>0.28000000000000003</v>
      </c>
      <c r="E17" s="27">
        <f t="shared" si="0"/>
        <v>20.010000000000002</v>
      </c>
      <c r="F17" s="9" t="s">
        <v>41</v>
      </c>
    </row>
    <row r="18" spans="2:18">
      <c r="B18" s="8" t="s">
        <v>45</v>
      </c>
      <c r="C18" s="26">
        <v>38</v>
      </c>
      <c r="D18" s="26">
        <v>0.01</v>
      </c>
      <c r="E18" s="27">
        <f t="shared" si="0"/>
        <v>38.01</v>
      </c>
      <c r="F18" s="9" t="s">
        <v>53</v>
      </c>
      <c r="R18" s="27"/>
    </row>
    <row r="19" spans="2:18">
      <c r="B19" s="8" t="s">
        <v>45</v>
      </c>
      <c r="C19" s="26">
        <v>11.25</v>
      </c>
      <c r="D19" s="26">
        <v>0.01</v>
      </c>
      <c r="E19" s="27">
        <f t="shared" si="0"/>
        <v>11.26</v>
      </c>
      <c r="F19" s="9" t="s">
        <v>41</v>
      </c>
    </row>
    <row r="20" spans="2:18">
      <c r="B20" s="8" t="s">
        <v>45</v>
      </c>
      <c r="C20" s="29">
        <v>8.02</v>
      </c>
      <c r="D20" s="26">
        <v>0.01</v>
      </c>
      <c r="E20" s="27">
        <f t="shared" si="0"/>
        <v>8.0299999999999994</v>
      </c>
      <c r="F20" s="9" t="s">
        <v>41</v>
      </c>
    </row>
    <row r="21" spans="2:18">
      <c r="B21" s="8" t="s">
        <v>43</v>
      </c>
      <c r="C21" s="26">
        <v>6.01</v>
      </c>
      <c r="D21" s="26">
        <v>0</v>
      </c>
      <c r="E21" s="27">
        <f t="shared" si="0"/>
        <v>6.01</v>
      </c>
      <c r="F21" s="9" t="s">
        <v>41</v>
      </c>
    </row>
    <row r="22" spans="2:18">
      <c r="B22" s="8" t="s">
        <v>47</v>
      </c>
      <c r="C22" s="26">
        <v>-30.99</v>
      </c>
      <c r="D22" s="26">
        <v>0</v>
      </c>
      <c r="E22" s="27">
        <f t="shared" si="0"/>
        <v>-30.99</v>
      </c>
      <c r="F22" s="9" t="s">
        <v>48</v>
      </c>
    </row>
    <row r="23" spans="2:18">
      <c r="B23" s="8" t="s">
        <v>47</v>
      </c>
      <c r="C23" s="26">
        <v>27.01</v>
      </c>
      <c r="D23" s="26">
        <v>0</v>
      </c>
      <c r="E23" s="27">
        <f t="shared" si="0"/>
        <v>27.01</v>
      </c>
      <c r="F23" s="9" t="s">
        <v>41</v>
      </c>
    </row>
    <row r="24" spans="2:18">
      <c r="B24" s="8" t="s">
        <v>47</v>
      </c>
      <c r="C24" s="26">
        <v>-47.22</v>
      </c>
      <c r="D24" s="26">
        <v>0</v>
      </c>
      <c r="E24" s="27">
        <f t="shared" si="0"/>
        <v>-47.22</v>
      </c>
      <c r="F24" s="9" t="s">
        <v>48</v>
      </c>
    </row>
    <row r="25" spans="2:18">
      <c r="B25" s="8" t="s">
        <v>47</v>
      </c>
      <c r="C25" s="26">
        <v>35.020000000000003</v>
      </c>
      <c r="D25" s="26">
        <v>0</v>
      </c>
      <c r="E25" s="27">
        <f t="shared" si="0"/>
        <v>35.020000000000003</v>
      </c>
      <c r="F25" s="9" t="s">
        <v>41</v>
      </c>
    </row>
    <row r="26" spans="2:18">
      <c r="B26" s="8" t="s">
        <v>47</v>
      </c>
      <c r="C26" s="26">
        <v>-59.99</v>
      </c>
      <c r="D26" s="26">
        <v>0</v>
      </c>
      <c r="E26" s="27">
        <f t="shared" si="0"/>
        <v>-59.99</v>
      </c>
      <c r="F26" s="9" t="s">
        <v>48</v>
      </c>
    </row>
    <row r="27" spans="2:18">
      <c r="B27" s="8" t="s">
        <v>47</v>
      </c>
      <c r="C27" s="29">
        <v>30.05</v>
      </c>
      <c r="D27" s="26">
        <v>0</v>
      </c>
      <c r="E27" s="27">
        <f t="shared" si="0"/>
        <v>30.05</v>
      </c>
      <c r="F27" s="9" t="s">
        <v>41</v>
      </c>
    </row>
    <row r="28" spans="2:18">
      <c r="B28" s="8" t="s">
        <v>47</v>
      </c>
      <c r="C28" s="29">
        <v>36.01</v>
      </c>
      <c r="D28" s="26">
        <v>0</v>
      </c>
      <c r="E28" s="27">
        <f t="shared" si="0"/>
        <v>36.01</v>
      </c>
      <c r="F28" s="9" t="s">
        <v>41</v>
      </c>
    </row>
    <row r="29" spans="2:18">
      <c r="B29" s="8" t="s">
        <v>43</v>
      </c>
      <c r="C29" s="26">
        <v>-8.0500000000000007</v>
      </c>
      <c r="D29" s="26">
        <v>0</v>
      </c>
      <c r="E29" s="27">
        <f t="shared" si="0"/>
        <v>-8.0500000000000007</v>
      </c>
      <c r="F29" s="9" t="s">
        <v>48</v>
      </c>
    </row>
    <row r="30" spans="2:18">
      <c r="B30" s="8" t="s">
        <v>45</v>
      </c>
      <c r="C30" s="26">
        <v>4</v>
      </c>
      <c r="D30" s="26">
        <v>0.01</v>
      </c>
      <c r="E30" s="26">
        <f>(C30+D30)</f>
        <v>4.01</v>
      </c>
      <c r="F30" s="9" t="s">
        <v>41</v>
      </c>
    </row>
    <row r="31" spans="2:18">
      <c r="B31" s="10" t="s">
        <v>45</v>
      </c>
      <c r="C31" s="36">
        <v>-8.4440000000000008</v>
      </c>
      <c r="D31" s="36">
        <f>-C31*6%</f>
        <v>0.50663999999999998</v>
      </c>
      <c r="E31" s="36">
        <f>(C31+D31)</f>
        <v>-7.9373600000000009</v>
      </c>
      <c r="F31" s="12" t="s">
        <v>48</v>
      </c>
    </row>
    <row r="33" spans="2:22">
      <c r="B33" s="5" t="s">
        <v>54</v>
      </c>
      <c r="C33" s="6"/>
      <c r="D33" s="6"/>
      <c r="E33" s="6"/>
      <c r="F33" s="6"/>
      <c r="G33" s="6"/>
      <c r="H33" s="6"/>
      <c r="I33" s="6"/>
      <c r="J33" s="6"/>
      <c r="K33" s="7"/>
      <c r="L33" t="s">
        <v>55</v>
      </c>
      <c r="M33" t="s">
        <v>56</v>
      </c>
      <c r="N33" t="s">
        <v>36</v>
      </c>
    </row>
    <row r="34" spans="2:22">
      <c r="B34" s="8"/>
      <c r="C34" t="s">
        <v>57</v>
      </c>
      <c r="D34" t="s">
        <v>58</v>
      </c>
      <c r="E34" t="s">
        <v>59</v>
      </c>
      <c r="F34" t="s">
        <v>60</v>
      </c>
      <c r="G34" t="s">
        <v>61</v>
      </c>
      <c r="H34" s="13" t="s">
        <v>62</v>
      </c>
      <c r="I34" t="s">
        <v>63</v>
      </c>
      <c r="J34" t="s">
        <v>5</v>
      </c>
      <c r="K34" s="9" t="s">
        <v>64</v>
      </c>
    </row>
    <row r="35" spans="2:22">
      <c r="B35" s="8" t="s">
        <v>40</v>
      </c>
      <c r="C35">
        <v>6.2539999999999996</v>
      </c>
      <c r="D35">
        <f>$H$2</f>
        <v>745</v>
      </c>
      <c r="E35">
        <f t="shared" ref="E35:E41" si="1">C35*D35</f>
        <v>4659.2299999999996</v>
      </c>
      <c r="F35" s="37">
        <f t="shared" ref="F35:F41" si="2">E35*$N$5</f>
        <v>3595.9937139999997</v>
      </c>
      <c r="G35" s="26">
        <v>3.5</v>
      </c>
      <c r="H35" s="38">
        <f>G51</f>
        <v>1.5615590400000001</v>
      </c>
      <c r="I35" s="27">
        <f t="shared" ref="I35:I42" si="3">((F35-H35*D35)*$J$3-G35)</f>
        <v>9.6144714780597873</v>
      </c>
      <c r="J35">
        <v>1</v>
      </c>
      <c r="K35" s="39">
        <f t="shared" ref="K35:K41" si="4">I35*J35</f>
        <v>9.6144714780597873</v>
      </c>
      <c r="L35" s="40">
        <v>40</v>
      </c>
      <c r="M35" s="40">
        <f t="shared" ref="M35:M41" si="5">L35*J35</f>
        <v>40</v>
      </c>
    </row>
    <row r="36" spans="2:22">
      <c r="B36" s="8" t="s">
        <v>43</v>
      </c>
      <c r="C36">
        <v>0.96599999999999997</v>
      </c>
      <c r="D36">
        <f>$H$2</f>
        <v>745</v>
      </c>
      <c r="E36">
        <f t="shared" si="1"/>
        <v>719.67</v>
      </c>
      <c r="F36" s="37">
        <f t="shared" si="2"/>
        <v>555.44130600000005</v>
      </c>
      <c r="G36" s="26">
        <v>3.5</v>
      </c>
      <c r="H36" s="38">
        <f>G52</f>
        <v>0.21337130135885166</v>
      </c>
      <c r="I36" s="27">
        <f t="shared" si="3"/>
        <v>-1.3625533783286246</v>
      </c>
      <c r="J36">
        <v>1</v>
      </c>
      <c r="K36" s="39">
        <f t="shared" si="4"/>
        <v>-1.3625533783286246</v>
      </c>
      <c r="L36" s="40">
        <v>11</v>
      </c>
      <c r="M36" s="40">
        <f t="shared" si="5"/>
        <v>11</v>
      </c>
    </row>
    <row r="37" spans="2:22">
      <c r="B37" s="8" t="s">
        <v>45</v>
      </c>
      <c r="C37">
        <v>0.85099999999999998</v>
      </c>
      <c r="D37">
        <f>$H$2</f>
        <v>745</v>
      </c>
      <c r="E37">
        <f t="shared" si="1"/>
        <v>633.995</v>
      </c>
      <c r="F37" s="37">
        <f t="shared" si="2"/>
        <v>489.31734100000006</v>
      </c>
      <c r="G37" s="26">
        <v>3.5</v>
      </c>
      <c r="H37" s="38">
        <f>G53</f>
        <v>0.18479602162162162</v>
      </c>
      <c r="I37" s="27">
        <f t="shared" si="3"/>
        <v>-1.6042637059678082</v>
      </c>
      <c r="J37">
        <v>1</v>
      </c>
      <c r="K37" s="39">
        <f t="shared" si="4"/>
        <v>-1.6042637059678082</v>
      </c>
      <c r="L37" s="40">
        <v>9.5</v>
      </c>
      <c r="M37" s="40">
        <f t="shared" si="5"/>
        <v>9.5</v>
      </c>
    </row>
    <row r="38" spans="2:22">
      <c r="B38" s="8" t="s">
        <v>45</v>
      </c>
      <c r="C38">
        <v>0.85099999999999998</v>
      </c>
      <c r="D38">
        <f>$H$2-34</f>
        <v>711</v>
      </c>
      <c r="E38">
        <f t="shared" si="1"/>
        <v>605.06100000000004</v>
      </c>
      <c r="F38" s="37">
        <f t="shared" si="2"/>
        <v>466.98607980000003</v>
      </c>
      <c r="G38" s="26">
        <v>0</v>
      </c>
      <c r="H38" s="38">
        <f>G53</f>
        <v>0.18479602162162162</v>
      </c>
      <c r="I38" s="27">
        <f t="shared" si="3"/>
        <v>1.8092194698750179</v>
      </c>
      <c r="J38">
        <v>3</v>
      </c>
      <c r="K38" s="39">
        <f t="shared" si="4"/>
        <v>5.427658409625054</v>
      </c>
      <c r="L38" s="40">
        <f>L37</f>
        <v>9.5</v>
      </c>
      <c r="M38" s="40">
        <f t="shared" si="5"/>
        <v>28.5</v>
      </c>
    </row>
    <row r="39" spans="2:22">
      <c r="B39" s="8" t="s">
        <v>45</v>
      </c>
      <c r="C39">
        <v>0.85099999999999998</v>
      </c>
      <c r="D39">
        <f>$H$2-34-58</f>
        <v>653</v>
      </c>
      <c r="E39">
        <f t="shared" si="1"/>
        <v>555.70299999999997</v>
      </c>
      <c r="F39" s="37">
        <f t="shared" si="2"/>
        <v>428.89157540000002</v>
      </c>
      <c r="G39" s="26">
        <v>0</v>
      </c>
      <c r="H39" s="38">
        <f>H38</f>
        <v>0.18479602162162162</v>
      </c>
      <c r="I39" s="27">
        <f t="shared" si="3"/>
        <v>1.66163194631278</v>
      </c>
      <c r="J39">
        <v>1</v>
      </c>
      <c r="K39" s="39">
        <f t="shared" si="4"/>
        <v>1.66163194631278</v>
      </c>
      <c r="L39" s="40">
        <f>L38</f>
        <v>9.5</v>
      </c>
      <c r="M39" s="40">
        <f t="shared" si="5"/>
        <v>9.5</v>
      </c>
    </row>
    <row r="40" spans="2:22">
      <c r="B40" s="8" t="s">
        <v>45</v>
      </c>
      <c r="C40">
        <v>0.85099999999999998</v>
      </c>
      <c r="D40">
        <f>$H$2-140</f>
        <v>605</v>
      </c>
      <c r="E40">
        <f t="shared" si="1"/>
        <v>514.85500000000002</v>
      </c>
      <c r="F40" s="37">
        <f t="shared" si="2"/>
        <v>397.36508900000001</v>
      </c>
      <c r="G40" s="26">
        <v>0</v>
      </c>
      <c r="H40" s="38">
        <f>H39</f>
        <v>0.18479602162162162</v>
      </c>
      <c r="I40" s="27">
        <f t="shared" si="3"/>
        <v>1.5394905475026524</v>
      </c>
      <c r="J40">
        <v>1</v>
      </c>
      <c r="K40" s="39">
        <f t="shared" si="4"/>
        <v>1.5394905475026524</v>
      </c>
      <c r="L40" s="40">
        <f>L39</f>
        <v>9.5</v>
      </c>
      <c r="M40" s="40">
        <f t="shared" si="5"/>
        <v>9.5</v>
      </c>
    </row>
    <row r="41" spans="2:22">
      <c r="B41" s="14" t="s">
        <v>43</v>
      </c>
      <c r="C41" s="15">
        <v>0.96599999999999997</v>
      </c>
      <c r="D41" s="15">
        <v>70</v>
      </c>
      <c r="E41" s="15">
        <f t="shared" si="1"/>
        <v>67.62</v>
      </c>
      <c r="F41" s="16">
        <f t="shared" si="2"/>
        <v>52.189116000000006</v>
      </c>
      <c r="G41" s="41">
        <v>0</v>
      </c>
      <c r="H41" s="42">
        <f>H36</f>
        <v>0.21337130135885166</v>
      </c>
      <c r="I41" s="41">
        <f t="shared" si="3"/>
        <v>0.2008339107610688</v>
      </c>
      <c r="J41" s="15">
        <v>1</v>
      </c>
      <c r="K41" s="43">
        <f t="shared" si="4"/>
        <v>0.2008339107610688</v>
      </c>
      <c r="L41" s="44">
        <v>0</v>
      </c>
      <c r="M41" s="44">
        <f t="shared" si="5"/>
        <v>0</v>
      </c>
      <c r="N41" t="s">
        <v>65</v>
      </c>
    </row>
    <row r="42" spans="2:22">
      <c r="B42" s="14" t="s">
        <v>45</v>
      </c>
      <c r="C42" s="15">
        <v>0.85099999999999998</v>
      </c>
      <c r="D42" s="15">
        <f>440</f>
        <v>440</v>
      </c>
      <c r="E42" s="15">
        <f>(C42*D42)</f>
        <v>374.44</v>
      </c>
      <c r="F42" s="16">
        <f>(E42*$N$5)</f>
        <v>288.99279200000001</v>
      </c>
      <c r="G42" s="41">
        <v>0</v>
      </c>
      <c r="H42" s="42">
        <f>(H38)</f>
        <v>0.18479602162162162</v>
      </c>
      <c r="I42" s="41">
        <f t="shared" si="3"/>
        <v>1.1196294890928382</v>
      </c>
      <c r="J42" s="15">
        <v>1</v>
      </c>
      <c r="K42" s="43">
        <f>(I42*J42)</f>
        <v>1.1196294890928382</v>
      </c>
      <c r="L42" s="44">
        <v>0</v>
      </c>
      <c r="M42" s="44">
        <f>(L42*J42)</f>
        <v>0</v>
      </c>
      <c r="N42" t="s">
        <v>65</v>
      </c>
    </row>
    <row r="43" spans="2:22">
      <c r="B43" s="8" t="s">
        <v>47</v>
      </c>
      <c r="H43" s="20"/>
      <c r="J43">
        <v>2</v>
      </c>
      <c r="K43" s="39"/>
      <c r="L43" s="40">
        <v>9</v>
      </c>
      <c r="M43" s="40">
        <f>L43*J43</f>
        <v>18</v>
      </c>
    </row>
    <row r="44" spans="2:22">
      <c r="B44" s="8" t="s">
        <v>66</v>
      </c>
      <c r="J44">
        <v>1</v>
      </c>
      <c r="K44" s="9"/>
      <c r="L44" s="40">
        <v>0.4</v>
      </c>
      <c r="M44" s="40">
        <f>(L44*J44)</f>
        <v>0.4</v>
      </c>
    </row>
    <row r="45" spans="2:22">
      <c r="B45" s="8" t="s">
        <v>67</v>
      </c>
      <c r="J45">
        <v>1</v>
      </c>
      <c r="K45" s="9"/>
      <c r="L45" s="40">
        <v>0.35</v>
      </c>
      <c r="M45" s="40">
        <f>(L45*J45)</f>
        <v>0.35</v>
      </c>
    </row>
    <row r="46" spans="2:22">
      <c r="B46" s="10" t="s">
        <v>68</v>
      </c>
      <c r="C46" s="11"/>
      <c r="D46" s="11"/>
      <c r="E46" s="11"/>
      <c r="F46" s="11"/>
      <c r="G46" s="11"/>
      <c r="H46" s="11"/>
      <c r="I46" s="11"/>
      <c r="J46" s="11">
        <v>1</v>
      </c>
      <c r="K46" s="12"/>
      <c r="L46" s="40">
        <v>1.5</v>
      </c>
      <c r="M46" s="40">
        <f>(L46*J46)</f>
        <v>1.5</v>
      </c>
      <c r="V46" s="27"/>
    </row>
    <row r="47" spans="2:22">
      <c r="L47" t="s">
        <v>35</v>
      </c>
      <c r="M47" s="40">
        <f>(SUM(M34:M46))</f>
        <v>128.25</v>
      </c>
      <c r="O47" s="40">
        <f>(J13+SUM(G35:G41)-D77)</f>
        <v>0.58292478652077406</v>
      </c>
      <c r="P47">
        <f>(O47/J3)</f>
        <v>108.12800388199523</v>
      </c>
    </row>
    <row r="49" spans="2:7">
      <c r="B49" s="17" t="s">
        <v>62</v>
      </c>
      <c r="C49" s="6"/>
      <c r="D49" s="6"/>
      <c r="E49" s="6"/>
      <c r="F49" s="6"/>
      <c r="G49" s="7"/>
    </row>
    <row r="50" spans="2:7">
      <c r="B50" s="8"/>
      <c r="C50" t="s">
        <v>69</v>
      </c>
      <c r="D50" t="s">
        <v>70</v>
      </c>
      <c r="E50" t="s">
        <v>71</v>
      </c>
      <c r="F50" t="s">
        <v>72</v>
      </c>
      <c r="G50" s="9" t="s">
        <v>73</v>
      </c>
    </row>
    <row r="51" spans="2:7">
      <c r="B51" s="8" t="s">
        <v>40</v>
      </c>
      <c r="C51">
        <f>0.12*60*24</f>
        <v>172.79999999999998</v>
      </c>
      <c r="D51">
        <f>0.2*60*24</f>
        <v>288</v>
      </c>
      <c r="E51">
        <f>0.15*60*24</f>
        <v>216</v>
      </c>
      <c r="F51">
        <f>0.21*60*24</f>
        <v>302.39999999999998</v>
      </c>
      <c r="G51" s="45">
        <f>(C51*$J$4+D51*$J$5+E51*$J$6+F51*$J$7)</f>
        <v>1.5615590400000001</v>
      </c>
    </row>
    <row r="52" spans="2:7">
      <c r="B52" s="8" t="s">
        <v>43</v>
      </c>
      <c r="C52">
        <f>24/(1+1/24)</f>
        <v>23.04</v>
      </c>
      <c r="D52" s="18">
        <f>126/(3+5/24)</f>
        <v>39.272727272727273</v>
      </c>
      <c r="E52" s="18">
        <f>46/(38/24)</f>
        <v>29.05263157894737</v>
      </c>
      <c r="F52">
        <v>42</v>
      </c>
      <c r="G52" s="45">
        <f>(C52*$J$4+D52*$J$5+E52*$J$6+F52*$J$7)</f>
        <v>0.21337130135885166</v>
      </c>
    </row>
    <row r="53" spans="2:7">
      <c r="B53" s="8" t="s">
        <v>45</v>
      </c>
      <c r="C53">
        <f>21</f>
        <v>21</v>
      </c>
      <c r="D53" s="18">
        <f>87/3.33</f>
        <v>26.126126126126124</v>
      </c>
      <c r="E53">
        <f>74/2</f>
        <v>37</v>
      </c>
      <c r="F53">
        <v>36</v>
      </c>
      <c r="G53" s="45">
        <f>(C53*$J$4+D53*$J$5+E53*$J$6+F53*$J$7)</f>
        <v>0.18479602162162162</v>
      </c>
    </row>
    <row r="54" spans="2:7">
      <c r="B54" s="10" t="s">
        <v>47</v>
      </c>
      <c r="C54" s="11"/>
      <c r="D54" s="11"/>
      <c r="E54" s="11"/>
      <c r="F54" s="11"/>
      <c r="G54" s="12"/>
    </row>
    <row r="56" spans="2:7">
      <c r="B56" s="5" t="s">
        <v>74</v>
      </c>
      <c r="C56" s="6" t="s">
        <v>75</v>
      </c>
      <c r="D56" s="7" t="s">
        <v>76</v>
      </c>
    </row>
    <row r="57" spans="2:7">
      <c r="B57" s="8"/>
      <c r="C57" s="18">
        <v>138</v>
      </c>
      <c r="D57" s="9"/>
    </row>
    <row r="58" spans="2:7">
      <c r="B58" s="8"/>
      <c r="C58" s="18">
        <v>330</v>
      </c>
      <c r="D58" s="9"/>
    </row>
    <row r="59" spans="2:7">
      <c r="B59" s="8"/>
      <c r="C59" s="18">
        <v>327.51919355000001</v>
      </c>
      <c r="D59" s="9"/>
    </row>
    <row r="60" spans="2:7">
      <c r="B60" s="8"/>
      <c r="C60" s="18">
        <v>113.54742468000001</v>
      </c>
      <c r="D60" s="46">
        <v>1.1399999999999999</v>
      </c>
      <c r="E60" s="33">
        <f t="shared" ref="E60:E67" si="6">D60/C60</f>
        <v>1.0039857823396298E-2</v>
      </c>
    </row>
    <row r="61" spans="2:7">
      <c r="B61" s="8"/>
      <c r="C61" s="18">
        <v>130.53974622000001</v>
      </c>
      <c r="D61" s="46">
        <v>1.1793119999999999</v>
      </c>
      <c r="E61" s="33">
        <f t="shared" si="6"/>
        <v>9.0341220520874389E-3</v>
      </c>
    </row>
    <row r="62" spans="2:7">
      <c r="B62" s="8"/>
      <c r="C62" s="18">
        <v>167.40487411999999</v>
      </c>
      <c r="D62" s="46">
        <v>1.05481</v>
      </c>
      <c r="E62" s="33">
        <f t="shared" si="6"/>
        <v>6.3009515436443378E-3</v>
      </c>
    </row>
    <row r="63" spans="2:7">
      <c r="B63" s="8"/>
      <c r="C63" s="18">
        <v>167.96827999999999</v>
      </c>
      <c r="D63" s="46">
        <f>1.0512-0.00017</f>
        <v>1.0510299999999999</v>
      </c>
      <c r="E63" s="33">
        <f t="shared" si="6"/>
        <v>6.2573123925541178E-3</v>
      </c>
    </row>
    <row r="64" spans="2:7">
      <c r="B64" s="8"/>
      <c r="C64" s="18">
        <v>123.66</v>
      </c>
      <c r="D64" s="46">
        <v>1.0489999999999999</v>
      </c>
      <c r="E64" s="33">
        <f t="shared" si="6"/>
        <v>8.4829370855571719E-3</v>
      </c>
    </row>
    <row r="65" spans="2:5">
      <c r="B65" s="8"/>
      <c r="C65" s="18">
        <v>149.5</v>
      </c>
      <c r="D65" s="46">
        <v>1.17</v>
      </c>
      <c r="E65" s="33">
        <f t="shared" si="6"/>
        <v>7.826086956521738E-3</v>
      </c>
    </row>
    <row r="66" spans="2:5">
      <c r="B66" s="8"/>
      <c r="C66" s="18">
        <v>170.62</v>
      </c>
      <c r="D66" s="46">
        <v>1.1579999999999999</v>
      </c>
      <c r="E66" s="33">
        <f t="shared" si="6"/>
        <v>6.7870120736138783E-3</v>
      </c>
    </row>
    <row r="67" spans="2:5">
      <c r="B67" s="8"/>
      <c r="C67" s="18">
        <v>192.66</v>
      </c>
      <c r="D67" s="46">
        <v>1.0900000000000001</v>
      </c>
      <c r="E67" s="33">
        <f t="shared" si="6"/>
        <v>5.6576352122910834E-3</v>
      </c>
    </row>
    <row r="68" spans="2:5">
      <c r="B68" s="8"/>
      <c r="C68" s="18">
        <v>257.33999999999997</v>
      </c>
      <c r="D68" s="46">
        <v>1.1299999999999999</v>
      </c>
      <c r="E68" s="33">
        <f t="shared" ref="E68:E74" si="7">(D68/C68)</f>
        <v>4.3910779513484108E-3</v>
      </c>
    </row>
    <row r="69" spans="2:5">
      <c r="B69" s="8"/>
      <c r="C69" s="18">
        <v>312.13</v>
      </c>
      <c r="D69" s="46">
        <v>0.82</v>
      </c>
      <c r="E69" s="33">
        <f t="shared" si="7"/>
        <v>2.6271104988306155E-3</v>
      </c>
    </row>
    <row r="70" spans="2:5">
      <c r="B70" s="8"/>
      <c r="C70" s="18">
        <v>352.46100000000001</v>
      </c>
      <c r="D70" s="46">
        <v>1.2074</v>
      </c>
      <c r="E70" s="33">
        <f t="shared" si="7"/>
        <v>3.4256272325165053E-3</v>
      </c>
    </row>
    <row r="71" spans="2:5">
      <c r="B71" s="8"/>
      <c r="C71" s="18">
        <v>263.04000000000002</v>
      </c>
      <c r="D71" s="46">
        <v>1.0588</v>
      </c>
      <c r="E71" s="33">
        <f t="shared" si="7"/>
        <v>4.0252433090024325E-3</v>
      </c>
    </row>
    <row r="72" spans="2:5">
      <c r="B72" s="8"/>
      <c r="C72" s="18">
        <v>359.00495999999998</v>
      </c>
      <c r="D72" s="46">
        <v>1.1194999999999999</v>
      </c>
      <c r="E72" s="33">
        <f t="shared" si="7"/>
        <v>3.1183413176241355E-3</v>
      </c>
    </row>
    <row r="73" spans="2:5">
      <c r="B73" s="8"/>
      <c r="C73" s="18">
        <v>327.91</v>
      </c>
      <c r="D73" s="46">
        <v>1.0785</v>
      </c>
      <c r="E73" s="33">
        <f t="shared" si="7"/>
        <v>3.2890122289652647E-3</v>
      </c>
    </row>
    <row r="74" spans="2:5">
      <c r="B74" s="8"/>
      <c r="C74" s="18">
        <v>925.39</v>
      </c>
      <c r="D74" s="46">
        <v>3.1734</v>
      </c>
      <c r="E74" s="33">
        <f t="shared" si="7"/>
        <v>3.4292568538670182E-3</v>
      </c>
    </row>
    <row r="75" spans="2:5">
      <c r="B75" s="8"/>
      <c r="C75" s="18">
        <v>109.44</v>
      </c>
      <c r="D75" s="46"/>
      <c r="E75" s="33"/>
    </row>
    <row r="76" spans="2:5">
      <c r="B76" s="10"/>
      <c r="C76" s="11"/>
      <c r="D76" s="12"/>
    </row>
    <row r="77" spans="2:5">
      <c r="B77" t="s">
        <v>35</v>
      </c>
      <c r="C77" s="18">
        <f>(SUM(C57:C76))</f>
        <v>4918.1354785700005</v>
      </c>
      <c r="D77" s="26">
        <f>(SUM(D57:D76))</f>
        <v>18.479751999999998</v>
      </c>
    </row>
  </sheetData>
  <conditionalFormatting sqref="L35">
    <cfRule type="cellIs" dxfId="267" priority="17" operator="lessThan">
      <formula>$C$5</formula>
    </cfRule>
    <cfRule type="cellIs" dxfId="266" priority="18" operator="greaterThan">
      <formula>$C$5</formula>
    </cfRule>
  </conditionalFormatting>
  <conditionalFormatting sqref="L36">
    <cfRule type="cellIs" dxfId="265" priority="15" operator="lessThan">
      <formula>$C$6</formula>
    </cfRule>
    <cfRule type="cellIs" dxfId="264" priority="16" operator="greaterThan">
      <formula>$C$6</formula>
    </cfRule>
  </conditionalFormatting>
  <conditionalFormatting sqref="L40">
    <cfRule type="cellIs" dxfId="263" priority="13" operator="lessThan">
      <formula>$C$20</formula>
    </cfRule>
    <cfRule type="cellIs" dxfId="262" priority="14" operator="greaterThan">
      <formula>$C$20</formula>
    </cfRule>
  </conditionalFormatting>
  <conditionalFormatting sqref="L39">
    <cfRule type="cellIs" dxfId="261" priority="11" operator="lessThan">
      <formula>$C$19</formula>
    </cfRule>
    <cfRule type="cellIs" dxfId="260" priority="12" operator="greaterThan">
      <formula>$C$19</formula>
    </cfRule>
  </conditionalFormatting>
  <conditionalFormatting sqref="L38">
    <cfRule type="cellIs" dxfId="259" priority="9" operator="lessThan">
      <formula>$C$17</formula>
    </cfRule>
    <cfRule type="cellIs" dxfId="258" priority="10" operator="greaterThan">
      <formula>$C$17</formula>
    </cfRule>
  </conditionalFormatting>
  <conditionalFormatting sqref="L37">
    <cfRule type="cellIs" dxfId="257" priority="7" operator="lessThan">
      <formula>$C$7</formula>
    </cfRule>
    <cfRule type="cellIs" dxfId="256" priority="8" operator="greaterThan">
      <formula>$C$7</formula>
    </cfRule>
  </conditionalFormatting>
  <conditionalFormatting sqref="L43">
    <cfRule type="cellIs" dxfId="255" priority="3" operator="lessThan">
      <formula>$C$27</formula>
    </cfRule>
    <cfRule type="cellIs" dxfId="254" priority="4" operator="greaterThan">
      <formula>$C$27</formula>
    </cfRule>
  </conditionalFormatting>
  <conditionalFormatting sqref="L44:L46">
    <cfRule type="cellIs" dxfId="253" priority="1" operator="lessThan">
      <formula>$C$7</formula>
    </cfRule>
    <cfRule type="cellIs" dxfId="252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cols>
    <col min="3" max="3" width="9.7109375" style="25" bestFit="1" customWidth="1"/>
  </cols>
  <sheetData>
    <row r="3" spans="2:4">
      <c r="C3" t="s">
        <v>6</v>
      </c>
      <c r="D3" t="s">
        <v>34</v>
      </c>
    </row>
    <row r="4" spans="2:4">
      <c r="B4" t="s">
        <v>77</v>
      </c>
      <c r="C4" s="26">
        <f>(-260/3)</f>
        <v>-86.666666666666671</v>
      </c>
      <c r="D4" s="26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2:U21"/>
  <sheetViews>
    <sheetView workbookViewId="0">
      <selection activeCell="L13" sqref="L13"/>
    </sheetView>
  </sheetViews>
  <sheetFormatPr baseColWidth="10" defaultColWidth="9.140625" defaultRowHeight="15"/>
  <cols>
    <col min="1" max="3" width="9.140625" style="25" customWidth="1"/>
    <col min="4" max="4" width="10.28515625" style="25" bestFit="1" customWidth="1"/>
    <col min="5" max="5" width="10.5703125" style="25" bestFit="1" customWidth="1"/>
    <col min="6" max="8" width="9.140625" style="25" customWidth="1"/>
    <col min="9" max="9" width="12.42578125" style="25" bestFit="1" customWidth="1"/>
    <col min="10" max="13" width="9.140625" style="25" customWidth="1"/>
    <col min="14" max="14" width="10.140625" style="25" bestFit="1" customWidth="1"/>
    <col min="15" max="15" width="11.28515625" style="25" bestFit="1" customWidth="1"/>
    <col min="16" max="363" width="9.140625" style="25" customWidth="1"/>
    <col min="364" max="16384" width="9.140625" style="25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9.9550083438818096</v>
      </c>
      <c r="M3" t="s">
        <v>4</v>
      </c>
      <c r="N3" s="23">
        <f>(INDEX(N5:N21,MATCH(MAX(O6:O8),O5:O21,0))/0.85)</f>
        <v>0.13985732941176471</v>
      </c>
      <c r="O3" s="27">
        <f>(MAX(O6:O8)*0.75)</f>
        <v>6.6000000000000005</v>
      </c>
      <c r="P3" s="47">
        <f>(O3*N3)</f>
        <v>0.92305837411764713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(B13*J3)</f>
        <v>3.12454362636498</v>
      </c>
      <c r="K4" s="4">
        <f>(J4/D13-1)</f>
        <v>-2.9258473310174877</v>
      </c>
      <c r="R4" t="s">
        <v>5</v>
      </c>
      <c r="S4" t="s">
        <v>6</v>
      </c>
      <c r="T4" t="s">
        <v>7</v>
      </c>
    </row>
    <row r="5" spans="2:21">
      <c r="B5" s="1">
        <f>0.31383979+0.28055386</f>
        <v>0.59439365</v>
      </c>
      <c r="C5" s="26">
        <f>4</f>
        <v>4</v>
      </c>
      <c r="D5" s="26">
        <f>C5*B5</f>
        <v>2.3775746</v>
      </c>
      <c r="M5" t="s">
        <v>15</v>
      </c>
      <c r="N5" t="s">
        <v>30</v>
      </c>
      <c r="O5" t="s">
        <v>1</v>
      </c>
      <c r="P5" t="s">
        <v>2</v>
      </c>
      <c r="R5" s="1">
        <f>B5</f>
        <v>0.59439365</v>
      </c>
      <c r="S5" s="26">
        <f>(T5/R5)</f>
        <v>4</v>
      </c>
      <c r="T5" s="26">
        <f>D5</f>
        <v>2.3775746</v>
      </c>
    </row>
    <row r="6" spans="2:21">
      <c r="B6" s="2">
        <v>2.671E-5</v>
      </c>
      <c r="C6" s="29">
        <v>0</v>
      </c>
      <c r="D6" s="29">
        <f>(B6*C6)</f>
        <v>0</v>
      </c>
      <c r="E6" s="26">
        <f>(B6*J3)</f>
        <v>2.6589827286508316E-4</v>
      </c>
      <c r="M6" t="s">
        <v>10</v>
      </c>
      <c r="N6" s="1">
        <f>$B$5/5</f>
        <v>0.11887873</v>
      </c>
      <c r="O6" s="26">
        <f>($C$5*[1]Params!K8)</f>
        <v>5.2</v>
      </c>
      <c r="P6" s="26">
        <f>O6*N6</f>
        <v>0.61816939599999998</v>
      </c>
      <c r="Q6" t="s">
        <v>11</v>
      </c>
      <c r="R6" s="2">
        <f>(B6)</f>
        <v>2.671E-5</v>
      </c>
      <c r="S6" s="29">
        <v>0</v>
      </c>
      <c r="T6" s="29">
        <f>(D6)</f>
        <v>0</v>
      </c>
      <c r="U6" s="26">
        <f>(R6*J3)</f>
        <v>2.6589827286508316E-4</v>
      </c>
    </row>
    <row r="7" spans="2:21">
      <c r="B7" s="1">
        <v>-0.28055385999999999</v>
      </c>
      <c r="C7" s="26">
        <f>D7/B7</f>
        <v>14.257511908765041</v>
      </c>
      <c r="D7" s="26">
        <v>-4</v>
      </c>
      <c r="N7" s="1">
        <f>$B$5/5</f>
        <v>0.11887873</v>
      </c>
      <c r="O7" s="26">
        <f>($C$5*[1]Params!K9)</f>
        <v>6.4</v>
      </c>
      <c r="P7" s="26">
        <f>O7*N7</f>
        <v>0.76082387200000001</v>
      </c>
      <c r="Q7" t="s">
        <v>11</v>
      </c>
      <c r="R7" s="37"/>
      <c r="S7" s="26"/>
      <c r="T7" s="26"/>
    </row>
    <row r="8" spans="2:21">
      <c r="B8" s="1"/>
      <c r="C8" s="26"/>
      <c r="D8" s="26"/>
      <c r="N8" s="1">
        <f>$B$5/5</f>
        <v>0.11887873</v>
      </c>
      <c r="O8" s="26">
        <f>($C$5*[1]Params!K10)</f>
        <v>8.8000000000000007</v>
      </c>
      <c r="P8" s="26">
        <f>(O8*N8)</f>
        <v>1.0461328240000001</v>
      </c>
      <c r="Q8" t="s">
        <v>11</v>
      </c>
      <c r="R8" s="1"/>
      <c r="S8" s="26"/>
      <c r="T8" s="26"/>
    </row>
    <row r="9" spans="2:21">
      <c r="B9" s="1"/>
      <c r="C9" s="26"/>
      <c r="D9" s="26"/>
      <c r="N9" s="1">
        <f>($B$13-B7)/5</f>
        <v>0.11888407199999999</v>
      </c>
      <c r="O9" s="26">
        <f>($C$5*[1]Params!K11)</f>
        <v>20</v>
      </c>
      <c r="P9" s="26">
        <f>(O9*N9)</f>
        <v>2.3776814399999999</v>
      </c>
      <c r="R9" s="1"/>
      <c r="S9" s="27"/>
      <c r="T9" s="27"/>
    </row>
    <row r="10" spans="2:21">
      <c r="B10" s="1"/>
      <c r="C10" s="27"/>
      <c r="D10" s="26"/>
      <c r="N10" s="1"/>
      <c r="P10" s="26"/>
    </row>
    <row r="11" spans="2:21">
      <c r="B11" s="1"/>
      <c r="C11" s="27"/>
      <c r="D11" s="26"/>
      <c r="P11" s="26">
        <f>(SUM(P6:P9))</f>
        <v>4.8028075320000001</v>
      </c>
    </row>
    <row r="12" spans="2:21">
      <c r="F12" t="s">
        <v>12</v>
      </c>
      <c r="G12" s="47">
        <f>(D13/B13)</f>
        <v>-5.1691575877005036</v>
      </c>
    </row>
    <row r="13" spans="2:21">
      <c r="B13" s="1">
        <f>(SUM(B5:B12))</f>
        <v>0.31386649999999999</v>
      </c>
      <c r="D13" s="26">
        <f>(SUM(D5:D12))</f>
        <v>-1.6224254</v>
      </c>
      <c r="R13" s="1">
        <f>(SUM(R5:R12))</f>
        <v>0.59442035999999998</v>
      </c>
      <c r="T13" s="26">
        <f>(SUM(T5:T12))</f>
        <v>2.3775746</v>
      </c>
    </row>
    <row r="18" spans="5:15">
      <c r="N18" s="1">
        <f>N6+N7+N8+B7</f>
        <v>7.6082330000000031E-2</v>
      </c>
      <c r="O18" s="27"/>
    </row>
    <row r="21" spans="5:15">
      <c r="E21" s="48"/>
    </row>
  </sheetData>
  <conditionalFormatting sqref="C5 G12 S5">
    <cfRule type="cellIs" dxfId="251" priority="7" operator="lessThan">
      <formula>$J$3</formula>
    </cfRule>
    <cfRule type="cellIs" dxfId="250" priority="8" operator="greaterThan">
      <formula>$J$3</formula>
    </cfRule>
  </conditionalFormatting>
  <conditionalFormatting sqref="O9">
    <cfRule type="cellIs" dxfId="249" priority="5" operator="lessThan">
      <formula>$J$3</formula>
    </cfRule>
    <cfRule type="cellIs" dxfId="248" priority="6" operator="greaterThan">
      <formula>$J$3</formula>
    </cfRule>
  </conditionalFormatting>
  <conditionalFormatting sqref="O3">
    <cfRule type="cellIs" dxfId="247" priority="1" operator="greaterThan">
      <formula>$J$3</formula>
    </cfRule>
    <cfRule type="cellIs" dxfId="246" priority="2" operator="lessThan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U13"/>
  <sheetViews>
    <sheetView workbookViewId="0">
      <selection activeCell="P3" sqref="P3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0.58478941007458629</v>
      </c>
      <c r="M3" t="s">
        <v>4</v>
      </c>
      <c r="N3" s="23">
        <f>(INDEX(N5:N21,MATCH(MAX(O6:O7),O5:O21,0))/0.85)</f>
        <v>26.47058823529412</v>
      </c>
      <c r="O3" s="27">
        <f>(MAX(O6:O7)*0.75)</f>
        <v>0.444405593559697</v>
      </c>
      <c r="P3" s="26">
        <f>(O3*N3)</f>
        <v>11.763677476580215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(B13*J3)</f>
        <v>48.620171966764644</v>
      </c>
      <c r="K4" s="4">
        <f>(J4/D13-1)</f>
        <v>1.0600364496172672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26">
        <f>(D5/B5)</f>
        <v>0.25104143031116005</v>
      </c>
      <c r="D5" s="26">
        <v>0.5</v>
      </c>
      <c r="M5" t="s">
        <v>15</v>
      </c>
      <c r="N5" t="s">
        <v>30</v>
      </c>
      <c r="O5" t="s">
        <v>1</v>
      </c>
      <c r="P5" t="s">
        <v>2</v>
      </c>
      <c r="R5" s="1">
        <f>B5</f>
        <v>1.9917031199999999</v>
      </c>
      <c r="S5" s="26">
        <f>(T5/R5)</f>
        <v>0.25104143031116005</v>
      </c>
      <c r="T5" s="26">
        <f>D5</f>
        <v>0.5</v>
      </c>
    </row>
    <row r="6" spans="2:21">
      <c r="B6" s="2">
        <v>0.78914364000000004</v>
      </c>
      <c r="C6" s="29">
        <v>0</v>
      </c>
      <c r="D6" s="29">
        <f>(B6*C6)</f>
        <v>0</v>
      </c>
      <c r="E6" s="26">
        <f>(B6*J3)</f>
        <v>0.46148284369971171</v>
      </c>
      <c r="M6" t="s">
        <v>10</v>
      </c>
      <c r="N6" s="1">
        <f>-B10</f>
        <v>22.57</v>
      </c>
      <c r="O6" s="26">
        <f>P6/N6</f>
        <v>0.44671816437749229</v>
      </c>
      <c r="P6" s="26">
        <f>-D10</f>
        <v>10.08242897</v>
      </c>
      <c r="Q6" t="s">
        <v>11</v>
      </c>
      <c r="R6" s="2">
        <f>(B6)</f>
        <v>0.78914364000000004</v>
      </c>
      <c r="S6" s="29">
        <v>0</v>
      </c>
      <c r="T6" s="29">
        <f>(D6)</f>
        <v>0</v>
      </c>
      <c r="U6" s="26">
        <f>(R6*J3)</f>
        <v>0.46148284369971171</v>
      </c>
    </row>
    <row r="7" spans="2:21">
      <c r="B7" s="1">
        <v>124.78280168000001</v>
      </c>
      <c r="C7" s="26">
        <f>(D7/B7)</f>
        <v>0.36463358241212396</v>
      </c>
      <c r="D7" s="26">
        <v>45.5</v>
      </c>
      <c r="E7" t="s">
        <v>15</v>
      </c>
      <c r="N7" s="1">
        <f>-B11</f>
        <v>22.5</v>
      </c>
      <c r="O7" s="26">
        <f>($S$7*[1]Params!K9)</f>
        <v>0.59254079141292937</v>
      </c>
      <c r="P7" s="26">
        <f>-D11</f>
        <v>12.305999999999999</v>
      </c>
      <c r="Q7" t="s">
        <v>11</v>
      </c>
      <c r="R7" s="37">
        <f>B7+B10</f>
        <v>102.21280168000001</v>
      </c>
      <c r="S7" s="26">
        <f>(T7/R7)</f>
        <v>0.37033799463308087</v>
      </c>
      <c r="T7" s="26">
        <f>D7+B10*0.3388</f>
        <v>37.853284000000002</v>
      </c>
      <c r="U7" t="s">
        <v>15</v>
      </c>
    </row>
    <row r="8" spans="2:21">
      <c r="B8" s="1">
        <v>-3.1156999999999999</v>
      </c>
      <c r="C8" s="26">
        <f>(D8/B8)</f>
        <v>0.3241529704400295</v>
      </c>
      <c r="D8" s="26">
        <v>-1.0099634099999999</v>
      </c>
      <c r="N8" s="1">
        <f>3*($B$13-B11-B10)/5-N7-N6</f>
        <v>31.856800712000002</v>
      </c>
      <c r="O8" s="26">
        <f>($C$7*[1]Params!K10)</f>
        <v>0.8021938813066728</v>
      </c>
      <c r="P8" s="26">
        <f>(O8*N8)</f>
        <v>25.555330609172458</v>
      </c>
      <c r="R8" s="1">
        <f>(B8+B9)</f>
        <v>0.64768608000000016</v>
      </c>
      <c r="S8" s="26">
        <v>0</v>
      </c>
      <c r="T8" s="26">
        <f>D8+D9</f>
        <v>-9.9634099999998949E-3</v>
      </c>
    </row>
    <row r="9" spans="2:21">
      <c r="B9" s="1">
        <v>3.7633860800000001</v>
      </c>
      <c r="C9" s="26">
        <f>(D9/B9)</f>
        <v>0.26571815347735994</v>
      </c>
      <c r="D9" s="26">
        <v>1</v>
      </c>
      <c r="N9" s="1">
        <f>($B$13/5)</f>
        <v>16.628266904000004</v>
      </c>
      <c r="O9" s="26">
        <f>($C$7*[1]Params!K11)</f>
        <v>1.8231679120606197</v>
      </c>
      <c r="P9" s="26">
        <f>(O9*N9)</f>
        <v>30.316122652552391</v>
      </c>
      <c r="R9" s="1">
        <f>B10-B10</f>
        <v>0</v>
      </c>
      <c r="S9" s="27">
        <v>0</v>
      </c>
      <c r="T9" s="27">
        <f>D10-B10*0.3388</f>
        <v>-2.4357129700000009</v>
      </c>
    </row>
    <row r="10" spans="2:21">
      <c r="B10" s="1">
        <v>-22.57</v>
      </c>
      <c r="C10" s="27">
        <f>D10/B10</f>
        <v>0.44671816437749229</v>
      </c>
      <c r="D10" s="26">
        <v>-10.08242897</v>
      </c>
      <c r="N10" s="1"/>
      <c r="P10" s="26"/>
    </row>
    <row r="11" spans="2:21">
      <c r="B11" s="1">
        <v>-22.5</v>
      </c>
      <c r="C11" s="27">
        <f>D11/B11</f>
        <v>0.54693333333333327</v>
      </c>
      <c r="D11" s="26">
        <v>-12.305999999999999</v>
      </c>
      <c r="P11" s="26">
        <f>(SUM(P6:P9))</f>
        <v>78.259882231724845</v>
      </c>
    </row>
    <row r="12" spans="2:21">
      <c r="F12" t="s">
        <v>12</v>
      </c>
      <c r="G12" s="47">
        <f>(D13/B13)</f>
        <v>0.28387333155354311</v>
      </c>
    </row>
    <row r="13" spans="2:21">
      <c r="B13" s="1">
        <f>(SUM(B5:B12))</f>
        <v>83.141334520000015</v>
      </c>
      <c r="D13" s="26">
        <f>(SUM(D5:D12))</f>
        <v>23.601607620000003</v>
      </c>
      <c r="R13" s="1">
        <f>(SUM(R5:R12))</f>
        <v>105.64133452000002</v>
      </c>
      <c r="T13" s="26">
        <f>(SUM(T5:T12))</f>
        <v>35.907607620000007</v>
      </c>
    </row>
  </sheetData>
  <conditionalFormatting sqref="C5 C7 G12 S5 S7">
    <cfRule type="cellIs" dxfId="245" priority="19" operator="lessThan">
      <formula>$J$3</formula>
    </cfRule>
    <cfRule type="cellIs" dxfId="244" priority="20" operator="greaterThan">
      <formula>$J$3</formula>
    </cfRule>
  </conditionalFormatting>
  <conditionalFormatting sqref="O8:O9">
    <cfRule type="cellIs" dxfId="243" priority="15" operator="lessThan">
      <formula>$J$3</formula>
    </cfRule>
    <cfRule type="cellIs" dxfId="242" priority="16" operator="greaterThan">
      <formula>$J$3</formula>
    </cfRule>
  </conditionalFormatting>
  <conditionalFormatting sqref="C9">
    <cfRule type="cellIs" dxfId="241" priority="3" operator="lessThan">
      <formula>$J$3</formula>
    </cfRule>
    <cfRule type="cellIs" dxfId="240" priority="4" operator="greaterThan">
      <formula>$J$3</formula>
    </cfRule>
  </conditionalFormatting>
  <conditionalFormatting sqref="O3">
    <cfRule type="cellIs" dxfId="239" priority="1" operator="greaterThan">
      <formula>$J$3</formula>
    </cfRule>
    <cfRule type="cellIs" dxfId="238" priority="2" operator="less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2:U20"/>
  <sheetViews>
    <sheetView workbookViewId="0">
      <selection activeCell="L17" sqref="L17"/>
    </sheetView>
  </sheetViews>
  <sheetFormatPr baseColWidth="10" defaultColWidth="9.140625" defaultRowHeight="15"/>
  <cols>
    <col min="4" max="4" width="10.28515625" style="25" bestFit="1" customWidth="1"/>
    <col min="9" max="9" width="12.42578125" style="25" bestFit="1" customWidth="1"/>
    <col min="14" max="14" width="10.140625" style="25" bestFit="1" customWidth="1"/>
    <col min="15" max="15" width="11.28515625" style="25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7">
        <v>0.20429046231002909</v>
      </c>
      <c r="M3" t="s">
        <v>4</v>
      </c>
      <c r="N3" s="23" t="e">
        <f>(INDEX(N5:N23,MATCH(MAX(0),O5:O23,0))/0.85)</f>
        <v>#N/A</v>
      </c>
      <c r="O3" s="27">
        <f>(MAX(0)*0.75)</f>
        <v>0</v>
      </c>
      <c r="P3" s="47" t="e">
        <f>(O3*N3)</f>
        <v>#N/A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13.425873217570443</v>
      </c>
      <c r="K4" s="4">
        <f>(J4/D14-1)</f>
        <v>0.41494432885225851</v>
      </c>
      <c r="R4" t="s">
        <v>5</v>
      </c>
      <c r="S4" t="s">
        <v>6</v>
      </c>
      <c r="T4" t="s">
        <v>7</v>
      </c>
    </row>
    <row r="5" spans="2:21">
      <c r="B5" s="37">
        <v>60.14</v>
      </c>
      <c r="C5" s="26">
        <f>(D5/B5)</f>
        <v>0.16877286331892252</v>
      </c>
      <c r="D5" s="26">
        <v>10.15</v>
      </c>
      <c r="N5" t="s">
        <v>30</v>
      </c>
      <c r="O5" t="s">
        <v>1</v>
      </c>
      <c r="P5" t="s">
        <v>2</v>
      </c>
      <c r="R5" s="37">
        <f>(B5)</f>
        <v>60.14</v>
      </c>
      <c r="S5" s="26">
        <f>(T5/R5)</f>
        <v>0.16877286331892252</v>
      </c>
      <c r="T5" s="26">
        <f>D5</f>
        <v>10.15</v>
      </c>
    </row>
    <row r="6" spans="2:21">
      <c r="B6" s="2">
        <v>0.58653025000000003</v>
      </c>
      <c r="C6" s="29">
        <v>0</v>
      </c>
      <c r="D6" s="29">
        <f>(B6*C6)</f>
        <v>0</v>
      </c>
      <c r="E6" s="26">
        <f>(B6*J3)</f>
        <v>0.11982253593131695</v>
      </c>
      <c r="M6" t="s">
        <v>10</v>
      </c>
      <c r="N6" s="37">
        <f>($B$14)/5</f>
        <v>13.143906050000002</v>
      </c>
      <c r="O6" s="26">
        <f>($C$5*[1]Params!K8)</f>
        <v>0.21940472231459929</v>
      </c>
      <c r="P6" s="26">
        <f>-D11</f>
        <v>2.8172410600000002</v>
      </c>
      <c r="R6" s="49">
        <f>(B6)</f>
        <v>0.58653025000000003</v>
      </c>
      <c r="S6" s="29">
        <v>0</v>
      </c>
      <c r="T6" s="29">
        <f>(D6)</f>
        <v>0</v>
      </c>
      <c r="U6" s="26">
        <f>(E6)</f>
        <v>0.11982253593131695</v>
      </c>
    </row>
    <row r="7" spans="2:21">
      <c r="B7" s="37">
        <v>-12.028</v>
      </c>
      <c r="C7" s="26">
        <f t="shared" ref="C7:C12" si="0">(D7/B7)</f>
        <v>0.21200000000000002</v>
      </c>
      <c r="D7" s="26">
        <v>-2.5499360000000002</v>
      </c>
      <c r="N7" s="37">
        <f>$B$14/5</f>
        <v>13.143906050000002</v>
      </c>
      <c r="O7" s="26">
        <f>($C$5*[1]Params!K9)</f>
        <v>0.27003658131027602</v>
      </c>
      <c r="P7" s="26">
        <f>(O7*N7)</f>
        <v>3.5493354548054543</v>
      </c>
      <c r="R7" s="37">
        <f>SUM(B7:B12)</f>
        <v>4.9930000000000021</v>
      </c>
      <c r="S7" s="26">
        <v>0</v>
      </c>
      <c r="T7" s="26">
        <f>SUM(D7:D12)</f>
        <v>-0.66137706000000041</v>
      </c>
      <c r="U7" s="27"/>
    </row>
    <row r="8" spans="2:21">
      <c r="B8" s="37">
        <v>-12</v>
      </c>
      <c r="C8" s="26">
        <f t="shared" si="0"/>
        <v>0.255</v>
      </c>
      <c r="D8" s="26">
        <v>-3.06</v>
      </c>
      <c r="N8" s="37">
        <f>($B$14)/5</f>
        <v>13.143906050000002</v>
      </c>
      <c r="O8" s="26">
        <f>($C$5*[1]Params!K10)</f>
        <v>0.37130029930162955</v>
      </c>
      <c r="P8" s="26">
        <f>(O8*N8)</f>
        <v>4.8803362503574998</v>
      </c>
      <c r="R8" s="37"/>
      <c r="S8" s="26"/>
      <c r="T8" s="26"/>
    </row>
    <row r="9" spans="2:21">
      <c r="B9" s="37">
        <v>13.39371616</v>
      </c>
      <c r="C9" s="26">
        <f t="shared" si="0"/>
        <v>0.21471262834346938</v>
      </c>
      <c r="D9" s="26">
        <v>2.8757999999999999</v>
      </c>
      <c r="N9" s="37">
        <f>($B$14)/5</f>
        <v>13.143906050000002</v>
      </c>
      <c r="O9" s="26">
        <f>($C$5*[1]Params!K11)</f>
        <v>0.84386431659461258</v>
      </c>
      <c r="P9" s="26">
        <f>(O9*N9)</f>
        <v>11.091673296267045</v>
      </c>
    </row>
    <row r="10" spans="2:21">
      <c r="B10" s="37">
        <v>13.23709339</v>
      </c>
      <c r="C10" s="26">
        <f t="shared" si="0"/>
        <v>0.18206413817557876</v>
      </c>
      <c r="D10" s="26">
        <v>2.41</v>
      </c>
    </row>
    <row r="11" spans="2:21">
      <c r="B11" s="37">
        <v>-12.66</v>
      </c>
      <c r="C11" s="26">
        <f t="shared" si="0"/>
        <v>0.22253088941548185</v>
      </c>
      <c r="D11" s="26">
        <v>-2.8172410600000002</v>
      </c>
    </row>
    <row r="12" spans="2:21">
      <c r="B12" s="37">
        <v>15.050190450000001</v>
      </c>
      <c r="C12" s="26">
        <f t="shared" si="0"/>
        <v>0.16478196792519659</v>
      </c>
      <c r="D12" s="26">
        <v>2.48</v>
      </c>
      <c r="P12" s="26">
        <f>(SUM(P6:P9))</f>
        <v>22.33858606143</v>
      </c>
    </row>
    <row r="13" spans="2:21">
      <c r="F13" t="s">
        <v>12</v>
      </c>
      <c r="G13" s="26">
        <f>(D14/B14)</f>
        <v>0.14438056547125119</v>
      </c>
    </row>
    <row r="14" spans="2:21">
      <c r="B14" s="37">
        <f>(SUM(B5:B13))</f>
        <v>65.719530250000005</v>
      </c>
      <c r="D14" s="26">
        <f>(SUM(D5:D13))</f>
        <v>9.4886229399999991</v>
      </c>
    </row>
    <row r="17" spans="11:20">
      <c r="N17" s="37"/>
      <c r="R17" s="37">
        <f>(SUM(R5:R16))</f>
        <v>65.719530250000005</v>
      </c>
      <c r="T17" s="26">
        <f>(SUM(T5:T16))</f>
        <v>9.4886229399999991</v>
      </c>
    </row>
    <row r="20" spans="11:20">
      <c r="K20" s="27"/>
    </row>
  </sheetData>
  <conditionalFormatting sqref="C5">
    <cfRule type="cellIs" dxfId="237" priority="17" operator="lessThan">
      <formula>$J$3</formula>
    </cfRule>
    <cfRule type="cellIs" dxfId="236" priority="18" operator="greaterThan">
      <formula>$J$3</formula>
    </cfRule>
  </conditionalFormatting>
  <conditionalFormatting sqref="C9:C10">
    <cfRule type="cellIs" dxfId="235" priority="15" operator="lessThan">
      <formula>$J$3</formula>
    </cfRule>
    <cfRule type="cellIs" dxfId="234" priority="16" operator="greaterThan">
      <formula>$J$3</formula>
    </cfRule>
  </conditionalFormatting>
  <conditionalFormatting sqref="O6:O9">
    <cfRule type="cellIs" dxfId="233" priority="13" operator="lessThan">
      <formula>$J$3</formula>
    </cfRule>
    <cfRule type="cellIs" dxfId="232" priority="14" operator="greaterThan">
      <formula>$J$3</formula>
    </cfRule>
  </conditionalFormatting>
  <conditionalFormatting sqref="S5 S7">
    <cfRule type="cellIs" dxfId="231" priority="9" operator="lessThan">
      <formula>$J$3</formula>
    </cfRule>
    <cfRule type="cellIs" dxfId="230" priority="10" operator="greaterThan">
      <formula>$J$3</formula>
    </cfRule>
  </conditionalFormatting>
  <conditionalFormatting sqref="G13">
    <cfRule type="cellIs" dxfId="229" priority="5" operator="lessThan">
      <formula>$J$3</formula>
    </cfRule>
    <cfRule type="cellIs" dxfId="228" priority="6" operator="greaterThan">
      <formula>$J$3</formula>
    </cfRule>
  </conditionalFormatting>
  <conditionalFormatting sqref="O3">
    <cfRule type="cellIs" dxfId="227" priority="3" operator="greaterThan">
      <formula>$J$3</formula>
    </cfRule>
    <cfRule type="cellIs" dxfId="226" priority="4" operator="lessThan">
      <formula>$J$3</formula>
    </cfRule>
  </conditionalFormatting>
  <conditionalFormatting sqref="C12">
    <cfRule type="cellIs" dxfId="225" priority="1" operator="lessThan">
      <formula>$J$3</formula>
    </cfRule>
    <cfRule type="cellIs" dxfId="224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38</vt:i4>
      </vt:variant>
    </vt:vector>
  </HeadingPairs>
  <TitlesOfParts>
    <vt:vector size="38" baseType="lpstr">
      <vt:lpstr>ETH</vt:lpstr>
      <vt:lpstr>BTC</vt:lpstr>
      <vt:lpstr>Cake</vt:lpstr>
      <vt:lpstr>POLIS</vt:lpstr>
      <vt:lpstr>ATLAS</vt:lpstr>
      <vt:lpstr>BIGTIME</vt:lpstr>
      <vt:lpstr>ACE</vt:lpstr>
      <vt:lpstr>ADA</vt:lpstr>
      <vt:lpstr>ALGO</vt:lpstr>
      <vt:lpstr>AMP</vt:lpstr>
      <vt:lpstr>APE</vt:lpstr>
      <vt:lpstr>ATOM</vt:lpstr>
      <vt:lpstr>AVAX</vt:lpstr>
      <vt:lpstr>BNB</vt:lpstr>
      <vt:lpstr>DOGE</vt:lpstr>
      <vt:lpstr>DOT</vt:lpstr>
      <vt:lpstr>EGLD</vt:lpstr>
      <vt:lpstr>GRT</vt:lpstr>
      <vt:lpstr>ICP</vt:lpstr>
      <vt:lpstr>KAVA</vt:lpstr>
      <vt:lpstr>LDO</vt:lpstr>
      <vt:lpstr>LINK</vt:lpstr>
      <vt:lpstr>LTC</vt:lpstr>
      <vt:lpstr>LUNA</vt:lpstr>
      <vt:lpstr>LUNC</vt:lpstr>
      <vt:lpstr>MATIC</vt:lpstr>
      <vt:lpstr>MEME</vt:lpstr>
      <vt:lpstr>MINA</vt:lpstr>
      <vt:lpstr>NEAR</vt:lpstr>
      <vt:lpstr>SEI</vt:lpstr>
      <vt:lpstr>SHIB</vt:lpstr>
      <vt:lpstr>SHPING</vt:lpstr>
      <vt:lpstr>SOL</vt:lpstr>
      <vt:lpstr>TRX</vt:lpstr>
      <vt:lpstr>UNI</vt:lpstr>
      <vt:lpstr>XRP</vt:lpstr>
      <vt:lpstr>TIA</vt:lpstr>
      <vt:lpstr>DYDX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2024-02-25T17:53:00Z</dcterms:modified>
</cp:coreProperties>
</file>