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N8"/>
  <c r="N7"/>
  <c r="S6"/>
  <c r="R6"/>
  <c r="N6"/>
  <c r="E6"/>
  <c r="D6"/>
  <c r="T6" s="1"/>
  <c r="T18" s="1"/>
  <c r="T5"/>
  <c r="S5"/>
  <c r="R5"/>
  <c r="R18" s="1"/>
  <c r="C5"/>
  <c r="O9" s="1"/>
  <c r="P9" s="1"/>
  <c r="J4"/>
  <c r="B14" i="38"/>
  <c r="N9" s="1"/>
  <c r="O9"/>
  <c r="P9" s="1"/>
  <c r="N8"/>
  <c r="O7"/>
  <c r="T6"/>
  <c r="S6"/>
  <c r="R6"/>
  <c r="O6"/>
  <c r="E6"/>
  <c r="D6"/>
  <c r="D14" s="1"/>
  <c r="G13" s="1"/>
  <c r="T5"/>
  <c r="T18" s="1"/>
  <c r="R5"/>
  <c r="R18" s="1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R5"/>
  <c r="R18" s="1"/>
  <c r="C5"/>
  <c r="O8" s="1"/>
  <c r="P8" s="1"/>
  <c r="K4"/>
  <c r="J4"/>
  <c r="D10" i="36"/>
  <c r="B10"/>
  <c r="N9"/>
  <c r="N8"/>
  <c r="O7"/>
  <c r="P7" s="1"/>
  <c r="N7"/>
  <c r="N6"/>
  <c r="E6"/>
  <c r="D6"/>
  <c r="C5"/>
  <c r="O9" s="1"/>
  <c r="P9" s="1"/>
  <c r="J4"/>
  <c r="D13" i="35"/>
  <c r="B13"/>
  <c r="G12"/>
  <c r="Q9"/>
  <c r="N9"/>
  <c r="N8"/>
  <c r="Q7"/>
  <c r="N7"/>
  <c r="Q6"/>
  <c r="Q8" s="1"/>
  <c r="N6"/>
  <c r="E6"/>
  <c r="D6"/>
  <c r="C5"/>
  <c r="J4"/>
  <c r="K4" s="1"/>
  <c r="D41" i="34"/>
  <c r="C41"/>
  <c r="S28" s="1"/>
  <c r="C40"/>
  <c r="N39"/>
  <c r="D39"/>
  <c r="C39"/>
  <c r="D38"/>
  <c r="C38"/>
  <c r="O8" s="1"/>
  <c r="C37"/>
  <c r="C36"/>
  <c r="C35"/>
  <c r="C34"/>
  <c r="B34"/>
  <c r="D33"/>
  <c r="C32"/>
  <c r="C31"/>
  <c r="C30"/>
  <c r="D29"/>
  <c r="C29"/>
  <c r="T28"/>
  <c r="R28"/>
  <c r="B28"/>
  <c r="R27"/>
  <c r="C27"/>
  <c r="T26"/>
  <c r="B26"/>
  <c r="T25"/>
  <c r="R25"/>
  <c r="O25"/>
  <c r="P25" s="1"/>
  <c r="T27" s="1"/>
  <c r="N25"/>
  <c r="C25"/>
  <c r="T24"/>
  <c r="S24"/>
  <c r="R24"/>
  <c r="N24"/>
  <c r="C24"/>
  <c r="T23"/>
  <c r="R23"/>
  <c r="P23"/>
  <c r="N23"/>
  <c r="C23"/>
  <c r="T22"/>
  <c r="R22"/>
  <c r="C22"/>
  <c r="O23" s="1"/>
  <c r="T21"/>
  <c r="R21"/>
  <c r="N17" s="1"/>
  <c r="C21"/>
  <c r="C20"/>
  <c r="T19"/>
  <c r="C19"/>
  <c r="T18"/>
  <c r="R18"/>
  <c r="E18"/>
  <c r="T17"/>
  <c r="R17"/>
  <c r="C17"/>
  <c r="T16"/>
  <c r="R16"/>
  <c r="O16"/>
  <c r="N16"/>
  <c r="R26" s="1"/>
  <c r="C16"/>
  <c r="O9" s="1"/>
  <c r="T15"/>
  <c r="S15"/>
  <c r="R15"/>
  <c r="O15"/>
  <c r="N15"/>
  <c r="P15" s="1"/>
  <c r="B15"/>
  <c r="E15" s="1"/>
  <c r="T14"/>
  <c r="S14"/>
  <c r="R14"/>
  <c r="O14"/>
  <c r="N14"/>
  <c r="P14" s="1"/>
  <c r="B14"/>
  <c r="T13"/>
  <c r="S13"/>
  <c r="O17" s="1"/>
  <c r="P17" s="1"/>
  <c r="R13"/>
  <c r="D13"/>
  <c r="B13"/>
  <c r="T12"/>
  <c r="R12"/>
  <c r="E12"/>
  <c r="T11"/>
  <c r="S11"/>
  <c r="R11"/>
  <c r="C11"/>
  <c r="T10"/>
  <c r="S10"/>
  <c r="C10"/>
  <c r="U9"/>
  <c r="S9"/>
  <c r="R9"/>
  <c r="B9"/>
  <c r="C9" s="1"/>
  <c r="R8"/>
  <c r="T8" s="1"/>
  <c r="P8"/>
  <c r="C8"/>
  <c r="B8"/>
  <c r="T7"/>
  <c r="R7"/>
  <c r="P7"/>
  <c r="O7" s="1"/>
  <c r="N7"/>
  <c r="C7"/>
  <c r="T6"/>
  <c r="O6"/>
  <c r="N6"/>
  <c r="P6" s="1"/>
  <c r="B6"/>
  <c r="S5"/>
  <c r="D5"/>
  <c r="B5"/>
  <c r="R5" s="1"/>
  <c r="D10" i="33"/>
  <c r="B10"/>
  <c r="N9"/>
  <c r="N8"/>
  <c r="O7"/>
  <c r="P7" s="1"/>
  <c r="N7"/>
  <c r="N6"/>
  <c r="C5"/>
  <c r="O9" s="1"/>
  <c r="P9" s="1"/>
  <c r="J4"/>
  <c r="D13" i="32"/>
  <c r="B13"/>
  <c r="G12"/>
  <c r="N9"/>
  <c r="N8"/>
  <c r="N7"/>
  <c r="N6"/>
  <c r="E6"/>
  <c r="D6"/>
  <c r="C5"/>
  <c r="J4"/>
  <c r="K4" s="1"/>
  <c r="B14" i="31"/>
  <c r="O9"/>
  <c r="P8"/>
  <c r="N8"/>
  <c r="N7"/>
  <c r="D7"/>
  <c r="C7"/>
  <c r="T6"/>
  <c r="R6"/>
  <c r="P6"/>
  <c r="N6"/>
  <c r="E6"/>
  <c r="U6" s="1"/>
  <c r="D6"/>
  <c r="D14" s="1"/>
  <c r="G13" s="1"/>
  <c r="T5"/>
  <c r="R5"/>
  <c r="R17" s="1"/>
  <c r="C5"/>
  <c r="O8" s="1"/>
  <c r="O3"/>
  <c r="B23" i="30"/>
  <c r="C21"/>
  <c r="D20"/>
  <c r="C20"/>
  <c r="C19"/>
  <c r="E18"/>
  <c r="C18"/>
  <c r="C17"/>
  <c r="C16"/>
  <c r="P15"/>
  <c r="O15"/>
  <c r="N15"/>
  <c r="C15"/>
  <c r="P14"/>
  <c r="O14"/>
  <c r="N14"/>
  <c r="C14"/>
  <c r="T13"/>
  <c r="R13"/>
  <c r="C13"/>
  <c r="T12"/>
  <c r="R12"/>
  <c r="C12"/>
  <c r="T11"/>
  <c r="R11"/>
  <c r="C11"/>
  <c r="T10"/>
  <c r="S10" s="1"/>
  <c r="R10"/>
  <c r="C10"/>
  <c r="R9"/>
  <c r="D9"/>
  <c r="T8"/>
  <c r="R8"/>
  <c r="C8"/>
  <c r="T7"/>
  <c r="R7"/>
  <c r="E7"/>
  <c r="U6"/>
  <c r="T6"/>
  <c r="R6"/>
  <c r="R26" s="1"/>
  <c r="P6"/>
  <c r="O6"/>
  <c r="N6"/>
  <c r="C6"/>
  <c r="O17" s="1"/>
  <c r="T5"/>
  <c r="S5"/>
  <c r="R5"/>
  <c r="C5"/>
  <c r="O9" s="1"/>
  <c r="J4"/>
  <c r="B10" i="29"/>
  <c r="E7"/>
  <c r="D7"/>
  <c r="O6"/>
  <c r="E6"/>
  <c r="D6"/>
  <c r="D10" s="1"/>
  <c r="G9" s="1"/>
  <c r="C5"/>
  <c r="O7" s="1"/>
  <c r="J4"/>
  <c r="K4" s="1"/>
  <c r="B10" i="28"/>
  <c r="N9"/>
  <c r="N8"/>
  <c r="O7"/>
  <c r="P7" s="1"/>
  <c r="N7"/>
  <c r="N6"/>
  <c r="E6"/>
  <c r="D6"/>
  <c r="D10" s="1"/>
  <c r="G9" s="1"/>
  <c r="C5"/>
  <c r="O9" s="1"/>
  <c r="K4"/>
  <c r="J4"/>
  <c r="O17" i="27"/>
  <c r="O16"/>
  <c r="N15"/>
  <c r="B15"/>
  <c r="O14"/>
  <c r="C14"/>
  <c r="C13"/>
  <c r="C12"/>
  <c r="C11"/>
  <c r="R10"/>
  <c r="C10"/>
  <c r="C9"/>
  <c r="T8"/>
  <c r="R8"/>
  <c r="C8"/>
  <c r="S8" s="1"/>
  <c r="T7"/>
  <c r="S7"/>
  <c r="R7"/>
  <c r="C7"/>
  <c r="O9" s="1"/>
  <c r="R6"/>
  <c r="U6" s="1"/>
  <c r="E6"/>
  <c r="D6"/>
  <c r="T5"/>
  <c r="R5"/>
  <c r="C5"/>
  <c r="O15" s="1"/>
  <c r="P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O12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D6"/>
  <c r="R5"/>
  <c r="D5"/>
  <c r="B22" i="25"/>
  <c r="J4" s="1"/>
  <c r="D20"/>
  <c r="D19"/>
  <c r="D18"/>
  <c r="D17"/>
  <c r="D16"/>
  <c r="D15"/>
  <c r="D14"/>
  <c r="D13"/>
  <c r="D12"/>
  <c r="D11"/>
  <c r="D10"/>
  <c r="D9"/>
  <c r="D8"/>
  <c r="B7"/>
  <c r="C7" s="1"/>
  <c r="O6"/>
  <c r="E6"/>
  <c r="D6"/>
  <c r="D5"/>
  <c r="D15" i="24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B11" i="23"/>
  <c r="J4" s="1"/>
  <c r="K4" s="1"/>
  <c r="T9"/>
  <c r="R9"/>
  <c r="N9"/>
  <c r="D9"/>
  <c r="C9"/>
  <c r="T8"/>
  <c r="R8"/>
  <c r="P8"/>
  <c r="O8"/>
  <c r="N8"/>
  <c r="C8"/>
  <c r="O7" s="1"/>
  <c r="R7"/>
  <c r="P7"/>
  <c r="N7"/>
  <c r="D7"/>
  <c r="T6"/>
  <c r="S6" s="1"/>
  <c r="R6"/>
  <c r="N6"/>
  <c r="E6"/>
  <c r="D6"/>
  <c r="D11" s="1"/>
  <c r="T5"/>
  <c r="S5" s="1"/>
  <c r="R5"/>
  <c r="C5"/>
  <c r="O9" s="1"/>
  <c r="D10" i="22"/>
  <c r="B10"/>
  <c r="N9"/>
  <c r="N8"/>
  <c r="O7"/>
  <c r="P7" s="1"/>
  <c r="N7"/>
  <c r="N6"/>
  <c r="E6"/>
  <c r="D6"/>
  <c r="C5"/>
  <c r="O9" s="1"/>
  <c r="P9" s="1"/>
  <c r="J4"/>
  <c r="D10" i="21"/>
  <c r="B10"/>
  <c r="O9"/>
  <c r="P9" s="1"/>
  <c r="N9"/>
  <c r="G9"/>
  <c r="N8"/>
  <c r="N7"/>
  <c r="N6"/>
  <c r="C5"/>
  <c r="O7" s="1"/>
  <c r="P7" s="1"/>
  <c r="J4"/>
  <c r="K4" s="1"/>
  <c r="B12" i="20"/>
  <c r="C10"/>
  <c r="T9"/>
  <c r="R9"/>
  <c r="N9"/>
  <c r="C9"/>
  <c r="T8"/>
  <c r="R8"/>
  <c r="C8"/>
  <c r="T7"/>
  <c r="R7"/>
  <c r="P7"/>
  <c r="N7"/>
  <c r="C7"/>
  <c r="T6"/>
  <c r="S6" s="1"/>
  <c r="R6"/>
  <c r="P6"/>
  <c r="O6"/>
  <c r="N6"/>
  <c r="E6"/>
  <c r="D6"/>
  <c r="D12" s="1"/>
  <c r="G11" s="1"/>
  <c r="T5"/>
  <c r="R5"/>
  <c r="R24" s="1"/>
  <c r="C5"/>
  <c r="O9" s="1"/>
  <c r="P9" s="1"/>
  <c r="D14" i="19"/>
  <c r="G13" s="1"/>
  <c r="B14"/>
  <c r="C12"/>
  <c r="D11"/>
  <c r="C11"/>
  <c r="C10"/>
  <c r="T9"/>
  <c r="R9"/>
  <c r="O9"/>
  <c r="C9"/>
  <c r="T8"/>
  <c r="S8"/>
  <c r="R8"/>
  <c r="C8"/>
  <c r="T7"/>
  <c r="R7"/>
  <c r="N8" s="1"/>
  <c r="P7"/>
  <c r="O7"/>
  <c r="N7"/>
  <c r="C7"/>
  <c r="S7" s="1"/>
  <c r="T6"/>
  <c r="S6"/>
  <c r="R6"/>
  <c r="N6"/>
  <c r="C6"/>
  <c r="O6" s="1"/>
  <c r="R5"/>
  <c r="C5"/>
  <c r="O8" s="1"/>
  <c r="P8" s="1"/>
  <c r="K4"/>
  <c r="J4"/>
  <c r="B13" i="18"/>
  <c r="O9"/>
  <c r="O8"/>
  <c r="O7"/>
  <c r="D7"/>
  <c r="C7" s="1"/>
  <c r="P6"/>
  <c r="N6"/>
  <c r="E6"/>
  <c r="D6"/>
  <c r="D13" s="1"/>
  <c r="J4"/>
  <c r="K4" s="1"/>
  <c r="D11" i="17"/>
  <c r="C10"/>
  <c r="R9"/>
  <c r="B9"/>
  <c r="D9" s="1"/>
  <c r="D8" s="1"/>
  <c r="T8" s="1"/>
  <c r="C8"/>
  <c r="B8"/>
  <c r="T7"/>
  <c r="R7"/>
  <c r="C7"/>
  <c r="T6"/>
  <c r="S6"/>
  <c r="O7" s="1"/>
  <c r="R6"/>
  <c r="P6"/>
  <c r="N6"/>
  <c r="E6"/>
  <c r="D6"/>
  <c r="D14" s="1"/>
  <c r="T5"/>
  <c r="R5"/>
  <c r="C5"/>
  <c r="O8" s="1"/>
  <c r="D13" i="16"/>
  <c r="B13"/>
  <c r="G12"/>
  <c r="N9"/>
  <c r="N8"/>
  <c r="N7"/>
  <c r="N6"/>
  <c r="E6"/>
  <c r="D6"/>
  <c r="C5"/>
  <c r="J4"/>
  <c r="K4" s="1"/>
  <c r="G17" i="15"/>
  <c r="B17"/>
  <c r="J4" s="1"/>
  <c r="C15"/>
  <c r="D14"/>
  <c r="C14"/>
  <c r="C13"/>
  <c r="C12"/>
  <c r="S9" s="1"/>
  <c r="C11"/>
  <c r="S8" s="1"/>
  <c r="O6" s="1"/>
  <c r="T10"/>
  <c r="R10"/>
  <c r="E10"/>
  <c r="R9"/>
  <c r="O9"/>
  <c r="D9"/>
  <c r="T8"/>
  <c r="R8"/>
  <c r="O8"/>
  <c r="E8"/>
  <c r="S7"/>
  <c r="R7"/>
  <c r="T7" s="1"/>
  <c r="O7"/>
  <c r="E7"/>
  <c r="S6"/>
  <c r="R6"/>
  <c r="P6"/>
  <c r="N6"/>
  <c r="D6"/>
  <c r="T5"/>
  <c r="R5"/>
  <c r="D5"/>
  <c r="D17" s="1"/>
  <c r="K4"/>
  <c r="D13" i="14"/>
  <c r="G12" s="1"/>
  <c r="B13"/>
  <c r="C11"/>
  <c r="C10"/>
  <c r="N9"/>
  <c r="C9"/>
  <c r="N8"/>
  <c r="C8"/>
  <c r="N7"/>
  <c r="C7"/>
  <c r="T6"/>
  <c r="R6"/>
  <c r="N6"/>
  <c r="C6"/>
  <c r="T5"/>
  <c r="R5"/>
  <c r="R15" s="1"/>
  <c r="C5"/>
  <c r="O9" s="1"/>
  <c r="P9" s="1"/>
  <c r="K4"/>
  <c r="J4"/>
  <c r="N23" i="13"/>
  <c r="P22"/>
  <c r="N22"/>
  <c r="N2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R11"/>
  <c r="C11"/>
  <c r="T10"/>
  <c r="R10"/>
  <c r="C10"/>
  <c r="T9"/>
  <c r="R9"/>
  <c r="C9"/>
  <c r="U8"/>
  <c r="T8"/>
  <c r="R8"/>
  <c r="P8"/>
  <c r="O8"/>
  <c r="N8"/>
  <c r="C8"/>
  <c r="T7"/>
  <c r="V7" s="1"/>
  <c r="R7"/>
  <c r="P7"/>
  <c r="N7"/>
  <c r="C7"/>
  <c r="T6"/>
  <c r="S6" s="1"/>
  <c r="O9" s="1"/>
  <c r="R6"/>
  <c r="O6"/>
  <c r="P6" s="1"/>
  <c r="N6"/>
  <c r="E6"/>
  <c r="D6"/>
  <c r="T5"/>
  <c r="R5"/>
  <c r="R19" s="1"/>
  <c r="C5"/>
  <c r="J4"/>
  <c r="B14" i="12"/>
  <c r="J4" s="1"/>
  <c r="K4" s="1"/>
  <c r="O9"/>
  <c r="P9" s="1"/>
  <c r="N9"/>
  <c r="N8"/>
  <c r="O7"/>
  <c r="P7" s="1"/>
  <c r="N7"/>
  <c r="E7"/>
  <c r="D7"/>
  <c r="N6"/>
  <c r="E6"/>
  <c r="D6"/>
  <c r="D14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E6"/>
  <c r="D6"/>
  <c r="D14" s="1"/>
  <c r="G13" s="1"/>
  <c r="T5"/>
  <c r="T14" s="1"/>
  <c r="R5"/>
  <c r="C5"/>
  <c r="J4"/>
  <c r="B14" i="10"/>
  <c r="C11"/>
  <c r="C10"/>
  <c r="O9"/>
  <c r="C9"/>
  <c r="T8"/>
  <c r="S8"/>
  <c r="R8"/>
  <c r="N8"/>
  <c r="C8"/>
  <c r="T7"/>
  <c r="R7"/>
  <c r="N7"/>
  <c r="C7"/>
  <c r="U6"/>
  <c r="R6"/>
  <c r="P6"/>
  <c r="O6"/>
  <c r="O3" s="1"/>
  <c r="N6"/>
  <c r="E6"/>
  <c r="D6"/>
  <c r="D14" s="1"/>
  <c r="G13" s="1"/>
  <c r="T5"/>
  <c r="R5"/>
  <c r="R17" s="1"/>
  <c r="C5"/>
  <c r="O8" s="1"/>
  <c r="P8" s="1"/>
  <c r="N3"/>
  <c r="P3" s="1"/>
  <c r="B13" i="9"/>
  <c r="C11"/>
  <c r="C10"/>
  <c r="T9"/>
  <c r="R9"/>
  <c r="O9"/>
  <c r="C9"/>
  <c r="T8"/>
  <c r="R8"/>
  <c r="O8"/>
  <c r="C8"/>
  <c r="T7"/>
  <c r="S7"/>
  <c r="O7" s="1"/>
  <c r="R7"/>
  <c r="P7"/>
  <c r="N7"/>
  <c r="C7"/>
  <c r="U6"/>
  <c r="R6"/>
  <c r="P6"/>
  <c r="O6"/>
  <c r="O3" s="1"/>
  <c r="N6"/>
  <c r="E6"/>
  <c r="D6"/>
  <c r="D13" s="1"/>
  <c r="G12" s="1"/>
  <c r="T5"/>
  <c r="R5"/>
  <c r="R13" s="1"/>
  <c r="C5"/>
  <c r="N3"/>
  <c r="P3" s="1"/>
  <c r="O9" i="8"/>
  <c r="O7"/>
  <c r="C7"/>
  <c r="T6"/>
  <c r="R6"/>
  <c r="U6" s="1"/>
  <c r="E6"/>
  <c r="D6"/>
  <c r="C5"/>
  <c r="O8" s="1"/>
  <c r="B5"/>
  <c r="C6" i="7"/>
  <c r="E6" s="1"/>
  <c r="C5"/>
  <c r="E5" s="1"/>
  <c r="E9" s="1"/>
  <c r="C4" i="6"/>
  <c r="D77" i="5"/>
  <c r="C77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M46"/>
  <c r="M45"/>
  <c r="M44"/>
  <c r="M43"/>
  <c r="M42"/>
  <c r="D42"/>
  <c r="E42" s="1"/>
  <c r="F42" s="1"/>
  <c r="M41"/>
  <c r="K41"/>
  <c r="E41"/>
  <c r="F41" s="1"/>
  <c r="I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F36"/>
  <c r="I36" s="1"/>
  <c r="K36" s="1"/>
  <c r="D36"/>
  <c r="E36" s="1"/>
  <c r="M35"/>
  <c r="H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P6" s="1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N67"/>
  <c r="O67" s="1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D30"/>
  <c r="T21" s="1"/>
  <c r="B30"/>
  <c r="B38" s="1"/>
  <c r="J7" s="1"/>
  <c r="J8" s="1"/>
  <c r="D29"/>
  <c r="T18" s="1"/>
  <c r="M28"/>
  <c r="D28"/>
  <c r="T17" s="1"/>
  <c r="M27"/>
  <c r="D27"/>
  <c r="M26"/>
  <c r="D26"/>
  <c r="C26" s="1"/>
  <c r="N25"/>
  <c r="M25"/>
  <c r="O25" s="1"/>
  <c r="C25"/>
  <c r="N68" s="1"/>
  <c r="O68" s="1"/>
  <c r="T24"/>
  <c r="R24"/>
  <c r="C24"/>
  <c r="T23"/>
  <c r="R23"/>
  <c r="C23"/>
  <c r="R22"/>
  <c r="C22"/>
  <c r="N43" s="1"/>
  <c r="O43" s="1"/>
  <c r="S21"/>
  <c r="R21"/>
  <c r="C21"/>
  <c r="N18" s="1"/>
  <c r="M20"/>
  <c r="C20"/>
  <c r="N34" s="1"/>
  <c r="O34" s="1"/>
  <c r="T19"/>
  <c r="S19" s="1"/>
  <c r="R19"/>
  <c r="M50" s="1"/>
  <c r="N19"/>
  <c r="O19" s="1"/>
  <c r="M19"/>
  <c r="C19"/>
  <c r="N27" s="1"/>
  <c r="O27" s="1"/>
  <c r="S18"/>
  <c r="R18"/>
  <c r="M18"/>
  <c r="O18" s="1"/>
  <c r="D18"/>
  <c r="C18"/>
  <c r="N17" s="1"/>
  <c r="O17" s="1"/>
  <c r="S17"/>
  <c r="R17"/>
  <c r="M17"/>
  <c r="C17"/>
  <c r="N20" s="1"/>
  <c r="O20" s="1"/>
  <c r="T16"/>
  <c r="S16" s="1"/>
  <c r="R16"/>
  <c r="D16"/>
  <c r="T15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C7"/>
  <c r="R6"/>
  <c r="T6" s="1"/>
  <c r="E6"/>
  <c r="D6"/>
  <c r="R5"/>
  <c r="D5"/>
  <c r="J4"/>
  <c r="D41" i="1"/>
  <c r="C40"/>
  <c r="B39"/>
  <c r="B38"/>
  <c r="C37"/>
  <c r="S20" s="1"/>
  <c r="C36"/>
  <c r="C35"/>
  <c r="C34"/>
  <c r="D33"/>
  <c r="D32"/>
  <c r="D31"/>
  <c r="D30"/>
  <c r="D29"/>
  <c r="C28"/>
  <c r="D27"/>
  <c r="D26"/>
  <c r="D25"/>
  <c r="D24"/>
  <c r="T23"/>
  <c r="R23"/>
  <c r="D23"/>
  <c r="B23"/>
  <c r="B43" s="1"/>
  <c r="D22"/>
  <c r="N21"/>
  <c r="D21"/>
  <c r="T20"/>
  <c r="R20"/>
  <c r="N28" s="1"/>
  <c r="N20"/>
  <c r="C20"/>
  <c r="C19"/>
  <c r="D19" s="1"/>
  <c r="O18"/>
  <c r="N18"/>
  <c r="P18" s="1"/>
  <c r="C18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T8" s="1"/>
  <c r="R9"/>
  <c r="T9" s="1"/>
  <c r="D9"/>
  <c r="R8"/>
  <c r="D8"/>
  <c r="R7"/>
  <c r="T7" s="1"/>
  <c r="D7"/>
  <c r="R6"/>
  <c r="T6" s="1"/>
  <c r="D6"/>
  <c r="R5"/>
  <c r="D5"/>
  <c r="O22" i="2" l="1"/>
  <c r="O38"/>
  <c r="J12" i="1"/>
  <c r="J13" s="1"/>
  <c r="J4"/>
  <c r="D18"/>
  <c r="T10" s="1"/>
  <c r="S10" s="1"/>
  <c r="N37"/>
  <c r="N36"/>
  <c r="N35"/>
  <c r="N34"/>
  <c r="D39"/>
  <c r="T22" s="1"/>
  <c r="T18"/>
  <c r="S18" s="1"/>
  <c r="R18"/>
  <c r="N10"/>
  <c r="N52" i="2"/>
  <c r="O52" s="1"/>
  <c r="N50"/>
  <c r="O50" s="1"/>
  <c r="M76"/>
  <c r="M74"/>
  <c r="D31"/>
  <c r="D38" s="1"/>
  <c r="T22"/>
  <c r="T20"/>
  <c r="R20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H38" i="5"/>
  <c r="I38" s="1"/>
  <c r="K38" s="1"/>
  <c r="H37"/>
  <c r="N27" i="1"/>
  <c r="N29"/>
  <c r="N26" i="2"/>
  <c r="O26" s="1"/>
  <c r="O30" s="1"/>
  <c r="N28"/>
  <c r="O28" s="1"/>
  <c r="N51"/>
  <c r="O51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G8"/>
  <c r="P17"/>
  <c r="T5" i="1"/>
  <c r="P10"/>
  <c r="O3"/>
  <c r="O29"/>
  <c r="P29" s="1"/>
  <c r="O28"/>
  <c r="P28" s="1"/>
  <c r="O27"/>
  <c r="P27" s="1"/>
  <c r="O26"/>
  <c r="D38"/>
  <c r="T21" s="1"/>
  <c r="R21"/>
  <c r="T19"/>
  <c r="R19"/>
  <c r="N19" s="1"/>
  <c r="R37" i="2"/>
  <c r="T5"/>
  <c r="T37" s="1"/>
  <c r="O9"/>
  <c r="O14" s="1"/>
  <c r="N4"/>
  <c r="D43" i="1"/>
  <c r="R22"/>
  <c r="C23"/>
  <c r="N6" s="1"/>
  <c r="S23"/>
  <c r="N26"/>
  <c r="S15" i="2"/>
  <c r="S24"/>
  <c r="N42"/>
  <c r="O42" s="1"/>
  <c r="O46" s="1"/>
  <c r="N44"/>
  <c r="O44" s="1"/>
  <c r="M57"/>
  <c r="O57" s="1"/>
  <c r="M75"/>
  <c r="P35" i="4"/>
  <c r="I37" i="5"/>
  <c r="K37" s="1"/>
  <c r="N9" i="9"/>
  <c r="N8"/>
  <c r="J4"/>
  <c r="K4" s="1"/>
  <c r="O9" i="11"/>
  <c r="P9" s="1"/>
  <c r="O8"/>
  <c r="O6"/>
  <c r="N24" i="15"/>
  <c r="N22"/>
  <c r="N17"/>
  <c r="N16"/>
  <c r="O15"/>
  <c r="O14"/>
  <c r="O9" i="16"/>
  <c r="P9" s="1"/>
  <c r="O7"/>
  <c r="P7" s="1"/>
  <c r="O6" i="18"/>
  <c r="R33" i="19"/>
  <c r="N9"/>
  <c r="R21" i="24"/>
  <c r="N8"/>
  <c r="N6"/>
  <c r="N9"/>
  <c r="P9" s="1"/>
  <c r="C32" i="26"/>
  <c r="R24"/>
  <c r="S5" i="27"/>
  <c r="N9" i="30"/>
  <c r="N8"/>
  <c r="N7"/>
  <c r="G9" i="33"/>
  <c r="K4"/>
  <c r="T5" i="34"/>
  <c r="C26"/>
  <c r="R19"/>
  <c r="O9" i="35"/>
  <c r="P9" s="1"/>
  <c r="O7"/>
  <c r="P7" s="1"/>
  <c r="G9" i="36"/>
  <c r="K4"/>
  <c r="N7" i="8"/>
  <c r="R5"/>
  <c r="R13" s="1"/>
  <c r="S5" i="9"/>
  <c r="S5" i="10"/>
  <c r="N9"/>
  <c r="J4"/>
  <c r="K4" s="1"/>
  <c r="S5" i="15"/>
  <c r="N9"/>
  <c r="N8"/>
  <c r="N7"/>
  <c r="N9" i="18"/>
  <c r="N7"/>
  <c r="N8"/>
  <c r="P8" s="1"/>
  <c r="O3" i="19"/>
  <c r="N3"/>
  <c r="J4" i="20"/>
  <c r="K4" s="1"/>
  <c r="N8"/>
  <c r="G9" i="22"/>
  <c r="K4"/>
  <c r="O7" i="27"/>
  <c r="O8"/>
  <c r="O6"/>
  <c r="N9" i="29"/>
  <c r="N8"/>
  <c r="N6"/>
  <c r="N7"/>
  <c r="P7" s="1"/>
  <c r="D23" i="30"/>
  <c r="G22" s="1"/>
  <c r="T9"/>
  <c r="V9" s="1"/>
  <c r="C9"/>
  <c r="P7" i="31"/>
  <c r="N3"/>
  <c r="P3" s="1"/>
  <c r="O9" i="32"/>
  <c r="P9" s="1"/>
  <c r="O7"/>
  <c r="P7" s="1"/>
  <c r="C28" i="34"/>
  <c r="R20"/>
  <c r="C33"/>
  <c r="T20"/>
  <c r="V20" s="1"/>
  <c r="P7" i="8"/>
  <c r="P8" i="9"/>
  <c r="P11" s="1"/>
  <c r="P9"/>
  <c r="U7" i="11"/>
  <c r="N8"/>
  <c r="U5" i="13"/>
  <c r="N9"/>
  <c r="P9" s="1"/>
  <c r="P11" s="1"/>
  <c r="D19"/>
  <c r="P21"/>
  <c r="P7" i="15"/>
  <c r="P8"/>
  <c r="N14"/>
  <c r="O17"/>
  <c r="P17" s="1"/>
  <c r="N25"/>
  <c r="R37"/>
  <c r="O6" i="16"/>
  <c r="P6" s="1"/>
  <c r="P11" s="1"/>
  <c r="O8"/>
  <c r="P8" s="1"/>
  <c r="O9" i="17"/>
  <c r="P7" i="18"/>
  <c r="P9"/>
  <c r="P6" i="24"/>
  <c r="N7"/>
  <c r="B39" i="26"/>
  <c r="P6" i="29"/>
  <c r="P9" i="30"/>
  <c r="O7"/>
  <c r="O8"/>
  <c r="P8" s="1"/>
  <c r="O6" i="35"/>
  <c r="P6" s="1"/>
  <c r="N66" i="2"/>
  <c r="O66" s="1"/>
  <c r="O70" s="1"/>
  <c r="I35" i="5"/>
  <c r="K35" s="1"/>
  <c r="L39"/>
  <c r="D5" i="8"/>
  <c r="N6"/>
  <c r="N18" s="1"/>
  <c r="O18" s="1"/>
  <c r="N8"/>
  <c r="P8" s="1"/>
  <c r="B13"/>
  <c r="P9" i="10"/>
  <c r="K4" i="11"/>
  <c r="R14"/>
  <c r="N6"/>
  <c r="O7"/>
  <c r="G13" i="12"/>
  <c r="O7" i="13"/>
  <c r="N3" s="1"/>
  <c r="S8"/>
  <c r="O23" s="1"/>
  <c r="P23" s="1"/>
  <c r="T11"/>
  <c r="T19" s="1"/>
  <c r="S5" i="14"/>
  <c r="T15"/>
  <c r="T6" i="15"/>
  <c r="T37" s="1"/>
  <c r="J8"/>
  <c r="J9" s="1"/>
  <c r="P9"/>
  <c r="T9"/>
  <c r="N15"/>
  <c r="O16"/>
  <c r="P16" s="1"/>
  <c r="N23"/>
  <c r="S7" i="17"/>
  <c r="P6" i="19"/>
  <c r="P9" i="23"/>
  <c r="P8" i="24"/>
  <c r="T21"/>
  <c r="D39" i="26"/>
  <c r="G39" s="1"/>
  <c r="R9"/>
  <c r="S9" s="1"/>
  <c r="P9" i="28"/>
  <c r="O16" i="30"/>
  <c r="O6" i="32"/>
  <c r="P6" s="1"/>
  <c r="P11" s="1"/>
  <c r="O8"/>
  <c r="P8" s="1"/>
  <c r="V21" i="34"/>
  <c r="B43"/>
  <c r="J4" s="1"/>
  <c r="O8" i="35"/>
  <c r="P8" s="1"/>
  <c r="C11" i="17"/>
  <c r="O6" s="1"/>
  <c r="T9"/>
  <c r="T13" s="1"/>
  <c r="T24" i="20"/>
  <c r="S5"/>
  <c r="T7" i="23"/>
  <c r="T22" s="1"/>
  <c r="C7"/>
  <c r="P6"/>
  <c r="N12" i="25"/>
  <c r="N6"/>
  <c r="P6" s="1"/>
  <c r="T5" i="26"/>
  <c r="C35"/>
  <c r="R25"/>
  <c r="R39" s="1"/>
  <c r="N17" i="27"/>
  <c r="N16"/>
  <c r="N14"/>
  <c r="P14" s="1"/>
  <c r="B16"/>
  <c r="D15"/>
  <c r="T10" s="1"/>
  <c r="N17" i="30"/>
  <c r="P17" s="1"/>
  <c r="N16"/>
  <c r="T17" i="31"/>
  <c r="S5"/>
  <c r="N9"/>
  <c r="J4"/>
  <c r="K4" s="1"/>
  <c r="R6" i="34"/>
  <c r="R43" s="1"/>
  <c r="C6"/>
  <c r="E14"/>
  <c r="R10"/>
  <c r="O26"/>
  <c r="O24"/>
  <c r="P24" s="1"/>
  <c r="P16"/>
  <c r="P19" s="1"/>
  <c r="O3"/>
  <c r="S5" i="37"/>
  <c r="T18"/>
  <c r="O6" i="8"/>
  <c r="T6" i="9"/>
  <c r="T13" s="1"/>
  <c r="T6" i="10"/>
  <c r="T17" s="1"/>
  <c r="O7"/>
  <c r="P7" s="1"/>
  <c r="P12" s="1"/>
  <c r="U5" i="11"/>
  <c r="N7"/>
  <c r="O6" i="12"/>
  <c r="P6" s="1"/>
  <c r="P12" s="1"/>
  <c r="O6" i="14"/>
  <c r="P6" s="1"/>
  <c r="O7"/>
  <c r="P7" s="1"/>
  <c r="O8"/>
  <c r="P8" s="1"/>
  <c r="R13" i="17"/>
  <c r="U5"/>
  <c r="B14"/>
  <c r="R8"/>
  <c r="S8" s="1"/>
  <c r="G12" i="18"/>
  <c r="P9" i="19"/>
  <c r="S9"/>
  <c r="O7" i="20"/>
  <c r="N3" s="1"/>
  <c r="O6" i="21"/>
  <c r="P6" s="1"/>
  <c r="O8"/>
  <c r="P8" s="1"/>
  <c r="R22" i="23"/>
  <c r="G10"/>
  <c r="S5" i="24"/>
  <c r="D22" i="25"/>
  <c r="O12"/>
  <c r="P12" s="1"/>
  <c r="P12" i="26"/>
  <c r="N6"/>
  <c r="O6" s="1"/>
  <c r="P6" s="1"/>
  <c r="T21"/>
  <c r="S21" s="1"/>
  <c r="P16" i="27"/>
  <c r="P17"/>
  <c r="B18"/>
  <c r="J4" s="1"/>
  <c r="O8" i="29"/>
  <c r="P8" s="1"/>
  <c r="O9"/>
  <c r="P9" s="1"/>
  <c r="K4" i="30"/>
  <c r="T26"/>
  <c r="S6"/>
  <c r="V8"/>
  <c r="S12"/>
  <c r="P9" i="31"/>
  <c r="D43" i="34"/>
  <c r="G43" s="1"/>
  <c r="S12"/>
  <c r="S16"/>
  <c r="S22"/>
  <c r="O8" i="39"/>
  <c r="P8" s="1"/>
  <c r="D14"/>
  <c r="G13" s="1"/>
  <c r="S5" i="19"/>
  <c r="T5" s="1"/>
  <c r="T33" s="1"/>
  <c r="W33" s="1"/>
  <c r="O8" i="20"/>
  <c r="P8" s="1"/>
  <c r="P11" s="1"/>
  <c r="O6" i="22"/>
  <c r="P6" s="1"/>
  <c r="P11" s="1"/>
  <c r="O8"/>
  <c r="P8" s="1"/>
  <c r="O7" i="24"/>
  <c r="P7" s="1"/>
  <c r="T6" i="27"/>
  <c r="O6" i="28"/>
  <c r="P6" s="1"/>
  <c r="P11" s="1"/>
  <c r="O8"/>
  <c r="P8" s="1"/>
  <c r="O6" i="33"/>
  <c r="P6" s="1"/>
  <c r="P11" s="1"/>
  <c r="O8"/>
  <c r="P8" s="1"/>
  <c r="O6" i="36"/>
  <c r="P6" s="1"/>
  <c r="P11" s="1"/>
  <c r="O8"/>
  <c r="P8" s="1"/>
  <c r="O7" i="37"/>
  <c r="J4" i="38"/>
  <c r="K4" s="1"/>
  <c r="S5"/>
  <c r="N6"/>
  <c r="P6" s="1"/>
  <c r="N7"/>
  <c r="P7" s="1"/>
  <c r="O6" i="39"/>
  <c r="P6" s="1"/>
  <c r="O7"/>
  <c r="P7" s="1"/>
  <c r="P20" i="27" l="1"/>
  <c r="O3" i="13"/>
  <c r="P11" i="18"/>
  <c r="P25" i="13"/>
  <c r="O54" i="2"/>
  <c r="P11" i="38"/>
  <c r="P11" i="15"/>
  <c r="O6" i="1"/>
  <c r="N3" s="1"/>
  <c r="G37" i="2"/>
  <c r="K4"/>
  <c r="N9" i="17"/>
  <c r="N7"/>
  <c r="P7" s="1"/>
  <c r="J4"/>
  <c r="K4" s="1"/>
  <c r="N8"/>
  <c r="P8" s="1"/>
  <c r="N3" i="8"/>
  <c r="O3"/>
  <c r="P6"/>
  <c r="R9" i="27"/>
  <c r="D16"/>
  <c r="P11" i="23"/>
  <c r="O6"/>
  <c r="N3" i="17"/>
  <c r="O3"/>
  <c r="M39" i="5"/>
  <c r="L40"/>
  <c r="M40" s="1"/>
  <c r="O9" i="26"/>
  <c r="P9" s="1"/>
  <c r="J4"/>
  <c r="R32" i="13"/>
  <c r="G18"/>
  <c r="K4"/>
  <c r="N8" i="34"/>
  <c r="N9"/>
  <c r="P9" s="1"/>
  <c r="P11" s="1"/>
  <c r="O25" i="15"/>
  <c r="P25" s="1"/>
  <c r="O23"/>
  <c r="P23" s="1"/>
  <c r="O24"/>
  <c r="P24" s="1"/>
  <c r="O22"/>
  <c r="P22" s="1"/>
  <c r="N26" i="34"/>
  <c r="V19"/>
  <c r="N75" i="2"/>
  <c r="O75" s="1"/>
  <c r="N73"/>
  <c r="O73" s="1"/>
  <c r="N76"/>
  <c r="O76" s="1"/>
  <c r="N74"/>
  <c r="O74" s="1"/>
  <c r="O37" i="1"/>
  <c r="P37" s="1"/>
  <c r="O36"/>
  <c r="P36" s="1"/>
  <c r="O35"/>
  <c r="P35" s="1"/>
  <c r="O34"/>
  <c r="P34" s="1"/>
  <c r="M4" i="2"/>
  <c r="O4" s="1"/>
  <c r="O12" i="1"/>
  <c r="P12" s="1"/>
  <c r="O11"/>
  <c r="O13"/>
  <c r="P13" s="1"/>
  <c r="P26" i="34"/>
  <c r="P28" s="1"/>
  <c r="T39" i="26"/>
  <c r="K4" i="34"/>
  <c r="P3" i="13"/>
  <c r="P7" i="11"/>
  <c r="P11" i="35"/>
  <c r="N3" i="30"/>
  <c r="P11" i="29"/>
  <c r="P11" i="24"/>
  <c r="P9" i="17"/>
  <c r="T43" i="34"/>
  <c r="W43" s="1"/>
  <c r="P14" i="15"/>
  <c r="P6" i="11"/>
  <c r="P26" i="1"/>
  <c r="P31" s="1"/>
  <c r="P3"/>
  <c r="T32"/>
  <c r="M58" i="2"/>
  <c r="K4" i="1"/>
  <c r="N3" i="37"/>
  <c r="P7"/>
  <c r="P11" s="1"/>
  <c r="N9" i="8"/>
  <c r="P9" s="1"/>
  <c r="J4"/>
  <c r="K4" s="1"/>
  <c r="D13"/>
  <c r="G12" s="1"/>
  <c r="T5"/>
  <c r="P7" i="30"/>
  <c r="P11" s="1"/>
  <c r="O3"/>
  <c r="N3" i="18"/>
  <c r="O3"/>
  <c r="G42" i="1"/>
  <c r="G7"/>
  <c r="H42" i="5"/>
  <c r="I42" s="1"/>
  <c r="K42" s="1"/>
  <c r="H39"/>
  <c r="P11" i="39"/>
  <c r="O3" i="37"/>
  <c r="P11" i="21"/>
  <c r="O3" i="20"/>
  <c r="P3" s="1"/>
  <c r="P12" i="14"/>
  <c r="P16" i="30"/>
  <c r="P19" s="1"/>
  <c r="P13" i="19"/>
  <c r="K4" i="39"/>
  <c r="N3" i="34"/>
  <c r="P3" s="1"/>
  <c r="P12" i="31"/>
  <c r="P3" i="19"/>
  <c r="P15" i="15"/>
  <c r="P8" i="11"/>
  <c r="G13" i="17"/>
  <c r="S19" i="1"/>
  <c r="R32"/>
  <c r="S20" i="2"/>
  <c r="N11" i="1"/>
  <c r="P3" i="37" l="1"/>
  <c r="P3" i="18"/>
  <c r="P3" i="30"/>
  <c r="P3" i="17"/>
  <c r="O21" i="1"/>
  <c r="P21" s="1"/>
  <c r="O19"/>
  <c r="P19" s="1"/>
  <c r="O20"/>
  <c r="P20" s="1"/>
  <c r="H40" i="5"/>
  <c r="I40" s="1"/>
  <c r="K40" s="1"/>
  <c r="I39"/>
  <c r="K39" s="1"/>
  <c r="J13" s="1"/>
  <c r="T13" i="8"/>
  <c r="S5"/>
  <c r="O3" i="23"/>
  <c r="N3"/>
  <c r="T9" i="27"/>
  <c r="T17" s="1"/>
  <c r="D18"/>
  <c r="P19" i="15"/>
  <c r="P11" i="8"/>
  <c r="P6" i="1"/>
  <c r="N59" i="2"/>
  <c r="O59" s="1"/>
  <c r="N60"/>
  <c r="O60" s="1"/>
  <c r="N58"/>
  <c r="O58" s="1"/>
  <c r="O62" s="1"/>
  <c r="K14" i="5"/>
  <c r="M47"/>
  <c r="N8" i="27"/>
  <c r="P8" s="1"/>
  <c r="N6"/>
  <c r="P6" s="1"/>
  <c r="N9"/>
  <c r="P9" s="1"/>
  <c r="N7"/>
  <c r="P7" s="1"/>
  <c r="R17"/>
  <c r="P11" i="11"/>
  <c r="P11" i="1"/>
  <c r="P15" s="1"/>
  <c r="P39"/>
  <c r="O78" i="2"/>
  <c r="P27" i="15"/>
  <c r="P3" i="8"/>
  <c r="P12" i="17"/>
  <c r="G17" i="27" l="1"/>
  <c r="K4"/>
  <c r="J15" i="5"/>
  <c r="J16" s="1"/>
  <c r="O47"/>
  <c r="P47" s="1"/>
  <c r="P11" i="27"/>
  <c r="P3" i="23"/>
  <c r="P23" i="1"/>
</calcChain>
</file>

<file path=xl/sharedStrings.xml><?xml version="1.0" encoding="utf-8"?>
<sst xmlns="http://schemas.openxmlformats.org/spreadsheetml/2006/main" count="865" uniqueCount="100">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</sst>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3433472"/>
        <c:axId val="73435392"/>
      </c:lineChart>
      <c:dateAx>
        <c:axId val="73433472"/>
        <c:scaling>
          <c:orientation val="minMax"/>
        </c:scaling>
        <c:axPos val="b"/>
        <c:numFmt formatCode="dd/mm/yy;@" sourceLinked="1"/>
        <c:majorTickMark val="none"/>
        <c:tickLblPos val="nextTo"/>
        <c:crossAx val="73435392"/>
        <c:crosses val="autoZero"/>
        <c:lblOffset val="100"/>
      </c:dateAx>
      <c:valAx>
        <c:axId val="7343539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433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abSelected="1"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2292.6289567102949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1296.3056240420858</v>
      </c>
      <c r="K4" s="4">
        <f>(J4/D43-1)</f>
        <v>-0.15053309446168484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2698.9032083097272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6.5502599999999996E-3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4.1171531999999997E-2</v>
      </c>
      <c r="O11" s="24">
        <f>($S$18*[1]Params!K16)</f>
        <v>3374.7679544894722</v>
      </c>
      <c r="P11" s="25">
        <f>(O11*N11)</f>
        <v>138.94436683083785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6.5502599999999996E-3</v>
      </c>
      <c r="C12" s="28">
        <v>0</v>
      </c>
      <c r="D12" s="29">
        <f t="shared" si="0"/>
        <v>0</v>
      </c>
      <c r="E12" s="23">
        <f>(B12*J3)</f>
        <v>15.017315749981176</v>
      </c>
      <c r="I12" t="s">
        <v>13</v>
      </c>
      <c r="J12">
        <f>(J11-B43)</f>
        <v>3.4576790000000024E-2</v>
      </c>
      <c r="N12">
        <f>($B$35/5)</f>
        <v>2.2908266E-2</v>
      </c>
      <c r="O12" s="24">
        <f>($S$18*[1]Params!K17)</f>
        <v>6749.5359089789445</v>
      </c>
      <c r="P12" s="25">
        <f>(O12*N12)</f>
        <v>154.62016397944146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79.271749984091016</v>
      </c>
      <c r="N13">
        <f>($B$35/5)</f>
        <v>2.2908266E-2</v>
      </c>
      <c r="O13" s="24">
        <f>($S$18*[1]Params!K18)</f>
        <v>13499.071817957889</v>
      </c>
      <c r="P13" s="25">
        <f>(O13*N13)</f>
        <v>309.24032795888292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610.26008376916229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0.10989633</v>
      </c>
      <c r="S18" s="24">
        <f>(T18/R18)</f>
        <v>1687.3839772447361</v>
      </c>
      <c r="T18" s="25">
        <f>(D35+1283.68*B39)</f>
        <v>185.43730640000001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8.6293559999999995E-3</v>
      </c>
      <c r="O19" s="24">
        <f>($S$19*[1]Params!K16)</f>
        <v>3447.0430681250273</v>
      </c>
      <c r="P19" s="25">
        <f>(O19*N19)</f>
        <v>29.745761782183113</v>
      </c>
      <c r="R19" s="26">
        <f>(B36+B38)</f>
        <v>2.2630890000000001E-2</v>
      </c>
      <c r="S19" s="24">
        <f>(T19/R19)</f>
        <v>1723.5215340625136</v>
      </c>
      <c r="T19" s="25">
        <f>(D36+1269.75*B38)</f>
        <v>39.004826250000001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4.6671780000000001E-3</v>
      </c>
      <c r="O20" s="24">
        <f>($S$19*[1]Params!K17)</f>
        <v>6894.0861362500546</v>
      </c>
      <c r="P20" s="25">
        <f>(O20*N20)</f>
        <v>32.175927145211261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4.6671780000000001E-3</v>
      </c>
      <c r="O21" s="24">
        <f>($S$19*[1]Params!K18)</f>
        <v>13788.172272500109</v>
      </c>
      <c r="P21" s="25">
        <f>(O21*N21)</f>
        <v>64.351854290422523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127.4050682178169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0.54504361000000001</v>
      </c>
      <c r="T32" s="25">
        <f>(SUM(T5:T31))</f>
        <v>1479.6589255217843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0.11454133</v>
      </c>
      <c r="C35" s="24">
        <f>(D35/B35)</f>
        <v>1671.0125506662093</v>
      </c>
      <c r="D35" s="25">
        <v>191.4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2.3335890000000001E-2</v>
      </c>
      <c r="C36" s="24">
        <f>(D36/B36)</f>
        <v>1709.8126533849788</v>
      </c>
      <c r="D36" s="25">
        <v>39.9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2698.9032083097272</v>
      </c>
    </row>
    <row r="43" spans="2:16">
      <c r="B43">
        <f>(SUM(B5:B42))</f>
        <v>0.56542320999999995</v>
      </c>
      <c r="D43" s="25">
        <f>(SUM(D5:D42))</f>
        <v>1526.0225155217845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0.24038417390645</v>
      </c>
      <c r="M3" t="s">
        <v>4</v>
      </c>
      <c r="N3" s="26">
        <f>(INDEX(N5:N23,MATCH(MAX(O6),O5:O23,0))/0.9)</f>
        <v>14.066666666666666</v>
      </c>
      <c r="O3" s="24">
        <f>(MAX(O6)*0.85)</f>
        <v>0.18915125600315957</v>
      </c>
      <c r="P3" s="45">
        <f>(O3*N3)</f>
        <v>2.660727667777778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12.174708073201263</v>
      </c>
      <c r="K4" s="4">
        <f>(J4/D14-1)</f>
        <v>0.73710416117795385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0.56406904999999996</v>
      </c>
      <c r="C6" s="28">
        <v>0</v>
      </c>
      <c r="D6" s="28">
        <f>(B6*C6)</f>
        <v>0</v>
      </c>
      <c r="E6" s="23">
        <f>(B6*J3)</f>
        <v>0.13559327261044604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0.56406904999999996</v>
      </c>
      <c r="S6" s="28">
        <v>0</v>
      </c>
      <c r="T6" s="28">
        <f>(D6)</f>
        <v>0</v>
      </c>
      <c r="U6" s="23">
        <f>(E6)</f>
        <v>0.13559327261044604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12.662751440000001</v>
      </c>
      <c r="O7" s="23">
        <f>($C$5*[1]Params!K9)</f>
        <v>0.27003658131027602</v>
      </c>
      <c r="P7" s="23">
        <f>(O7*N7)</f>
        <v>3.4194061088393752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12.661375720000001</v>
      </c>
      <c r="O8" s="23">
        <f>($C$5*[1]Params!K10)</f>
        <v>0.37130029930162955</v>
      </c>
      <c r="P8" s="23">
        <f>(O8*N8)</f>
        <v>4.701172594406386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12.661375720000001</v>
      </c>
      <c r="O9" s="23">
        <f>($C$5*[1]Params!K11)</f>
        <v>0.84386431659461258</v>
      </c>
      <c r="P9" s="23">
        <f>(O9*N9)</f>
        <v>10.684483169105421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21.622302932351182</v>
      </c>
    </row>
    <row r="13" spans="2:21">
      <c r="F13" t="s">
        <v>9</v>
      </c>
      <c r="G13" s="23">
        <f>(D14/B14)</f>
        <v>0.13838213002923339</v>
      </c>
    </row>
    <row r="14" spans="2:21">
      <c r="B14" s="35">
        <f>(SUM(B5:B13))</f>
        <v>50.646878600000008</v>
      </c>
      <c r="D14" s="23">
        <f>(SUM(D5:D13))</f>
        <v>7.0086229399999986</v>
      </c>
    </row>
    <row r="17" spans="11:20">
      <c r="N17" s="35"/>
      <c r="R17" s="35">
        <f>(SUM(R5:R16))</f>
        <v>50.646878600000008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35" priority="15" operator="lessThan">
      <formula>$J$3</formula>
    </cfRule>
    <cfRule type="cellIs" dxfId="234" priority="16" operator="greaterThan">
      <formula>$J$3</formula>
    </cfRule>
  </conditionalFormatting>
  <conditionalFormatting sqref="C9:C10">
    <cfRule type="cellIs" dxfId="233" priority="13" operator="lessThan">
      <formula>$J$3</formula>
    </cfRule>
    <cfRule type="cellIs" dxfId="232" priority="14" operator="greaterThan">
      <formula>$J$3</formula>
    </cfRule>
  </conditionalFormatting>
  <conditionalFormatting sqref="O7:O9">
    <cfRule type="cellIs" dxfId="231" priority="11" operator="lessThan">
      <formula>$J$3</formula>
    </cfRule>
    <cfRule type="cellIs" dxfId="230" priority="12" operator="greaterThan">
      <formula>$J$3</formula>
    </cfRule>
  </conditionalFormatting>
  <conditionalFormatting sqref="S5 S7">
    <cfRule type="cellIs" dxfId="229" priority="7" operator="lessThan">
      <formula>$J$3</formula>
    </cfRule>
    <cfRule type="cellIs" dxfId="228" priority="8" operator="greaterThan">
      <formula>$J$3</formula>
    </cfRule>
  </conditionalFormatting>
  <conditionalFormatting sqref="G13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1.706668575520687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23.649249857860198</v>
      </c>
      <c r="K4" s="4">
        <f>(J4/D14-1)</f>
        <v>-0.40445729849311363</v>
      </c>
      <c r="R4" t="s">
        <v>5</v>
      </c>
      <c r="S4" t="s">
        <v>6</v>
      </c>
      <c r="T4" t="s">
        <v>7</v>
      </c>
    </row>
    <row r="5" spans="2:21">
      <c r="B5" s="35">
        <v>13.21219001</v>
      </c>
      <c r="C5" s="23">
        <f>(D5/B5)</f>
        <v>3.0199384030808378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0.57883509</v>
      </c>
      <c r="S5" s="28">
        <v>0</v>
      </c>
      <c r="T5" s="29">
        <f>(D6)</f>
        <v>0</v>
      </c>
      <c r="U5" s="23">
        <f>(R5*J3)</f>
        <v>0.98787965851168857</v>
      </c>
    </row>
    <row r="6" spans="2:21">
      <c r="B6" s="47">
        <v>0.57883509</v>
      </c>
      <c r="C6" s="28">
        <v>0</v>
      </c>
      <c r="D6" s="29">
        <f>(B6*C6)</f>
        <v>0</v>
      </c>
      <c r="E6" s="23">
        <f>(B6*J3)</f>
        <v>0.98787965851168857</v>
      </c>
      <c r="M6" t="s">
        <v>11</v>
      </c>
      <c r="N6" s="35">
        <f>(SUM(R5:R7)/5)</f>
        <v>2.771393368</v>
      </c>
      <c r="O6" s="23">
        <f>($C$5*[1]Params!K8)</f>
        <v>3.9259199240050893</v>
      </c>
      <c r="P6" s="23">
        <f>(O6*N6)</f>
        <v>10.880268440686768</v>
      </c>
      <c r="R6" s="35">
        <f>(B5)</f>
        <v>13.21219001</v>
      </c>
      <c r="S6" s="23">
        <f>(T6/R6)</f>
        <v>3.0199384030808378</v>
      </c>
      <c r="T6" s="23">
        <f>(D5)</f>
        <v>39.9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2.771393368</v>
      </c>
      <c r="O7" s="23">
        <f>($C$5*[1]Params!K9)</f>
        <v>4.8319014449293407</v>
      </c>
      <c r="P7" s="23">
        <f>(O7*N7)</f>
        <v>13.391099619306793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0.30212228547315545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2.771393368</v>
      </c>
      <c r="O8" s="23">
        <f>($C$5*[1]Params!K10)</f>
        <v>6.6438644867778436</v>
      </c>
      <c r="P8" s="23">
        <f>(O8*N8)</f>
        <v>18.41276197654684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2.771393368</v>
      </c>
      <c r="O9" s="23">
        <f>($C$5*[1]Params!K11)</f>
        <v>15.099692015404189</v>
      </c>
      <c r="P9" s="23">
        <f>(O9*N9)</f>
        <v>41.847186310333726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84.531316346874121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2.8657366989845521</v>
      </c>
    </row>
    <row r="14" spans="2:21">
      <c r="B14" s="35">
        <f>(SUM(B5:B13))</f>
        <v>13.856966840000002</v>
      </c>
      <c r="D14" s="23">
        <f>(SUM(D5:D13))</f>
        <v>39.710418410000003</v>
      </c>
      <c r="R14" s="35">
        <f>(SUM(R5:R13))</f>
        <v>13.85696684</v>
      </c>
      <c r="T14" s="23">
        <f>(SUM(T5:T13))</f>
        <v>39.710418409999996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11.18947924116542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13.699011446930999</v>
      </c>
      <c r="K4" s="4">
        <f>(J4/D14-1)</f>
        <v>0.2533404800485819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0.98395882981466931</v>
      </c>
      <c r="M6" t="s">
        <v>11</v>
      </c>
      <c r="N6" s="1">
        <f>(SUM($B$5:$B$7)/5)</f>
        <v>0.24485521000000002</v>
      </c>
      <c r="O6" s="23">
        <f>($C$5*[1]Params!K8)</f>
        <v>12.800900900900901</v>
      </c>
      <c r="P6" s="23">
        <f>(O6*N6)</f>
        <v>3.1343672782792793</v>
      </c>
    </row>
    <row r="7" spans="2:16">
      <c r="B7" s="47">
        <v>2.6339979999999999E-2</v>
      </c>
      <c r="C7" s="28">
        <v>0</v>
      </c>
      <c r="D7" s="29">
        <f>(C7*B7)</f>
        <v>0</v>
      </c>
      <c r="E7" s="23">
        <f>(B7*J4)</f>
        <v>0.36083168753193356</v>
      </c>
      <c r="N7" s="1">
        <f>(SUM($B$5:$B$7)/5)</f>
        <v>0.24485521000000002</v>
      </c>
      <c r="O7" s="23">
        <f>($C$5*[1]Params!K9)</f>
        <v>15.754954954954954</v>
      </c>
      <c r="P7" s="23">
        <f>(O7*N7)</f>
        <v>3.857682804036036</v>
      </c>
    </row>
    <row r="8" spans="2:16">
      <c r="N8" s="1">
        <f>(SUM($B$5:$B$7)/5)</f>
        <v>0.24485521000000002</v>
      </c>
      <c r="O8" s="23">
        <f>($C$5*[1]Params!K10)</f>
        <v>21.663063063063063</v>
      </c>
      <c r="P8" s="23">
        <f>(O8*N8)</f>
        <v>5.3043138555495499</v>
      </c>
    </row>
    <row r="9" spans="2:16">
      <c r="N9" s="1">
        <f>(SUM($B$5:$B$7)/5)</f>
        <v>0.24485521000000002</v>
      </c>
      <c r="O9" s="23">
        <f>($C$5*[1]Params!K11)</f>
        <v>49.234234234234229</v>
      </c>
      <c r="P9" s="23">
        <f>(O9*N9)</f>
        <v>12.055258762612612</v>
      </c>
    </row>
    <row r="12" spans="2:16">
      <c r="P12" s="23">
        <f>(SUM(P6:P9))</f>
        <v>24.351622700477478</v>
      </c>
    </row>
    <row r="13" spans="2:16">
      <c r="F13" t="s">
        <v>9</v>
      </c>
      <c r="G13" s="23">
        <f>(D14/B14)</f>
        <v>8.9277250829173695</v>
      </c>
    </row>
    <row r="14" spans="2:16">
      <c r="B14" s="19">
        <f>(SUM(B5:B13))</f>
        <v>1.2242760500000001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J34" sqref="J3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45.71353871696752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62.508936494742727</v>
      </c>
      <c r="K4" s="4">
        <f>(J4/D19-1)</f>
        <v>-49.756118677003734</v>
      </c>
      <c r="R4" t="s">
        <v>5</v>
      </c>
      <c r="S4" t="s">
        <v>6</v>
      </c>
      <c r="T4" t="s">
        <v>7</v>
      </c>
    </row>
    <row r="5" spans="2:22">
      <c r="B5" s="26">
        <v>2.5281102500000001</v>
      </c>
      <c r="C5" s="23">
        <f>(D5/B5)</f>
        <v>15.782539547078692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1.592555E-2</v>
      </c>
      <c r="S5" s="28">
        <v>0</v>
      </c>
      <c r="T5" s="29">
        <f>(D6)</f>
        <v>0</v>
      </c>
      <c r="U5" s="23">
        <f>(R5*J3)</f>
        <v>0.72801324651400212</v>
      </c>
    </row>
    <row r="6" spans="2:22">
      <c r="B6" s="27">
        <v>1.592555E-2</v>
      </c>
      <c r="C6" s="28">
        <v>0</v>
      </c>
      <c r="D6" s="29">
        <f>(B6*C6)</f>
        <v>0</v>
      </c>
      <c r="E6" s="23">
        <f>(B6*J3)</f>
        <v>0.72801324651400212</v>
      </c>
      <c r="M6" t="s">
        <v>11</v>
      </c>
      <c r="N6" s="26">
        <f>($B$5+$R$7)/5</f>
        <v>0.51208146600000004</v>
      </c>
      <c r="O6" s="23">
        <f>($C$5*[1]Params!K8)</f>
        <v>20.5173014112023</v>
      </c>
      <c r="P6" s="23">
        <f>(O6*N6)</f>
        <v>10.506529785012344</v>
      </c>
      <c r="Q6" t="s">
        <v>12</v>
      </c>
      <c r="R6" s="26">
        <f>B5+B13+B15+B17</f>
        <v>1.0298102500000001</v>
      </c>
      <c r="S6" s="23">
        <f>(T6/R6)</f>
        <v>16.673103613019968</v>
      </c>
      <c r="T6" s="23">
        <f>D5-(-B13-B15)*15.13+B17*15.25</f>
        <v>17.170133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1.6800687070249967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0.54738483800000004</v>
      </c>
      <c r="O9" s="23">
        <f>($S$6*[1]Params!K11)</f>
        <v>83.365518065099849</v>
      </c>
      <c r="P9" s="23">
        <f>(O9*N9)</f>
        <v>45.633020600850756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86.529009075863101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-0.93759593580054046</v>
      </c>
    </row>
    <row r="19" spans="2:20">
      <c r="B19" s="26">
        <f>(SUM(B5:B18))</f>
        <v>1.3674053299999995</v>
      </c>
      <c r="D19" s="23">
        <f>(SUM(D5:D18))</f>
        <v>-1.2820736799999963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1.36740533</v>
      </c>
      <c r="T19" s="23">
        <f>(SUM(T5:T18))</f>
        <v>-1.2820736799999981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  <row r="32" spans="2:20">
      <c r="R32" s="24">
        <f>D19/B19</f>
        <v>-0.93759593580054046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3.8019779006790099E-3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3.6319771683601734</v>
      </c>
      <c r="K4" s="4">
        <f>(J4/D13-1)</f>
        <v>0.2824049086051863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268.20649382870982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191.44023805638093</v>
      </c>
      <c r="K4" s="4">
        <f>(J4/D17-1)</f>
        <v>-3.8721896818379453E-2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0.11221212</v>
      </c>
      <c r="O6" s="23">
        <f>($S$8*[1]Params!K8)</f>
        <v>369.0350026360789</v>
      </c>
      <c r="P6" s="23">
        <f>(O6*N6)</f>
        <v>41.410200000000003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6.3028526049746805E-2</v>
      </c>
      <c r="I7" t="s">
        <v>11</v>
      </c>
      <c r="J7">
        <v>1</v>
      </c>
      <c r="N7" s="26">
        <f>($R$8/5)</f>
        <v>0.11221212</v>
      </c>
      <c r="O7" s="23">
        <f>($S$8*[1]Params!K9)</f>
        <v>454.19692632132785</v>
      </c>
      <c r="P7" s="23">
        <f>(O7*N7)</f>
        <v>50.9664</v>
      </c>
      <c r="R7" s="49">
        <f>(B7+B8+B10)</f>
        <v>2.6271800000000002E-3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2.5474252783850859E-2</v>
      </c>
      <c r="I8" t="s">
        <v>13</v>
      </c>
      <c r="J8" s="49">
        <f>(J7-B17)</f>
        <v>0.28622071999999998</v>
      </c>
      <c r="N8" s="26">
        <f>($R$8/5)</f>
        <v>0.11221212</v>
      </c>
      <c r="O8" s="23">
        <f>($S$8*[1]Params!K10)</f>
        <v>624.52077369182587</v>
      </c>
      <c r="P8" s="23">
        <f>(O8*N8)</f>
        <v>70.078800000000001</v>
      </c>
      <c r="R8" s="49">
        <f>(B11)</f>
        <v>0.56106060000000002</v>
      </c>
      <c r="S8" s="23">
        <f>(C11)</f>
        <v>283.87307895082989</v>
      </c>
      <c r="T8" s="23">
        <f>(R8*S8)</f>
        <v>159.26999999999998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76.766255772328876</v>
      </c>
      <c r="N9" s="26">
        <f>($R$8/5)</f>
        <v>0.11221212</v>
      </c>
      <c r="O9" s="23">
        <f>($S$8*[1]Params!K11)</f>
        <v>1419.3653947541495</v>
      </c>
      <c r="P9" s="23">
        <f>(O9*N9)</f>
        <v>159.26999999999998</v>
      </c>
      <c r="R9" s="49">
        <f>(B12)</f>
        <v>0.14034714000000001</v>
      </c>
      <c r="S9" s="23">
        <f>(C12)</f>
        <v>284.29507006697816</v>
      </c>
      <c r="T9" s="23">
        <f>(R9*S9)</f>
        <v>39.9</v>
      </c>
      <c r="U9" t="s">
        <v>15</v>
      </c>
    </row>
    <row r="10" spans="2:21">
      <c r="B10" s="50">
        <v>2.2972000000000001E-3</v>
      </c>
      <c r="C10" s="28">
        <v>0</v>
      </c>
      <c r="D10" s="29">
        <v>0</v>
      </c>
      <c r="E10" s="23">
        <f>(B10*J3)</f>
        <v>0.61612395762331229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0.56106060000000002</v>
      </c>
      <c r="C11" s="23">
        <f>(D11/B11)</f>
        <v>283.87307895082989</v>
      </c>
      <c r="D11" s="23">
        <v>159.27000000000001</v>
      </c>
      <c r="E11" t="s">
        <v>10</v>
      </c>
      <c r="P11" s="23">
        <f>(SUM(P6:P9))</f>
        <v>321.72539999999998</v>
      </c>
    </row>
    <row r="12" spans="2:21">
      <c r="B12" s="49">
        <v>0.14034714000000001</v>
      </c>
      <c r="C12" s="23">
        <f>(D12/B12)</f>
        <v>284.29507006697816</v>
      </c>
      <c r="D12" s="23">
        <v>39.9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2.8069428E-2</v>
      </c>
      <c r="O14" s="23">
        <f>($S$9*[1]Params!K8)</f>
        <v>369.58359108707162</v>
      </c>
      <c r="P14" s="23">
        <f>(O14*N14)</f>
        <v>10.373999999999999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2.8069428E-2</v>
      </c>
      <c r="O15" s="23">
        <f>($S$9*[1]Params!K9)</f>
        <v>454.87211210716509</v>
      </c>
      <c r="P15" s="23">
        <f>(O15*N15)</f>
        <v>12.767999999999999</v>
      </c>
    </row>
    <row r="16" spans="2:21">
      <c r="N16" s="26">
        <f>($R$9/5)</f>
        <v>2.8069428E-2</v>
      </c>
      <c r="O16" s="23">
        <f>($S$9*[1]Params!K10)</f>
        <v>625.44915414735203</v>
      </c>
      <c r="P16" s="23">
        <f>(O16*N16)</f>
        <v>17.556000000000001</v>
      </c>
    </row>
    <row r="17" spans="2:16">
      <c r="B17" s="49">
        <f>(SUM(B5:B16))</f>
        <v>0.71377928000000002</v>
      </c>
      <c r="D17" s="23">
        <f>(SUM(D5:D16))</f>
        <v>199.15177244</v>
      </c>
      <c r="F17" t="s">
        <v>9</v>
      </c>
      <c r="G17" s="23">
        <f>(SUM(D5:D16)/SUM(B5:B16))</f>
        <v>279.01030195216651</v>
      </c>
      <c r="N17" s="26">
        <f>($R$9/5)</f>
        <v>2.8069428E-2</v>
      </c>
      <c r="O17" s="23">
        <f>($S$9*[1]Params!K11)</f>
        <v>1421.4753503348907</v>
      </c>
      <c r="P17" s="23">
        <f>(O17*N17)</f>
        <v>39.899999999999991</v>
      </c>
    </row>
    <row r="18" spans="2:16">
      <c r="P18" s="23"/>
    </row>
    <row r="19" spans="2:16">
      <c r="P19" s="23">
        <f>(SUM(P14:P17))</f>
        <v>80.597999999999985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9.8898400000000004E-4</v>
      </c>
      <c r="O22" s="23">
        <f>($S$5*[1]Params!K8)</f>
        <v>323.96134165178148</v>
      </c>
      <c r="P22" s="23">
        <f>(O22*N22)</f>
        <v>0.32039258351214545</v>
      </c>
    </row>
    <row r="23" spans="2:16">
      <c r="N23" s="26">
        <f>(($R$5+$R$7)/5)</f>
        <v>9.8898400000000004E-4</v>
      </c>
      <c r="O23" s="23">
        <f>($S$5*[1]Params!K9)</f>
        <v>398.72165126373102</v>
      </c>
      <c r="P23" s="23">
        <f>(O23*N23)</f>
        <v>0.39432933355340977</v>
      </c>
    </row>
    <row r="24" spans="2:16">
      <c r="N24" s="26">
        <f>(($R$5+$R$7)/5)</f>
        <v>9.8898400000000004E-4</v>
      </c>
      <c r="O24" s="23">
        <f>($S$5*[1]Params!K10)</f>
        <v>548.24227048763021</v>
      </c>
      <c r="P24" s="23">
        <f>(O24*N24)</f>
        <v>0.54220283363593846</v>
      </c>
    </row>
    <row r="25" spans="2:16">
      <c r="N25" s="26">
        <f>(($R$5+$R$7)/5)</f>
        <v>9.8898400000000004E-4</v>
      </c>
      <c r="O25" s="23">
        <f>($S$5*[1]Params!K11)</f>
        <v>1246.0051601991595</v>
      </c>
      <c r="P25" s="23">
        <f>(O25*N25)</f>
        <v>1.2322791673544056</v>
      </c>
    </row>
    <row r="26" spans="2:16">
      <c r="P26" s="23"/>
    </row>
    <row r="27" spans="2:16">
      <c r="P27" s="23">
        <f>(SUM(P22:P25))</f>
        <v>2.4892039180558991</v>
      </c>
    </row>
    <row r="37" spans="18:20">
      <c r="R37" s="49">
        <f>(SUM(R5:R27))</f>
        <v>0.71377928000000002</v>
      </c>
      <c r="T37" s="23">
        <f>(SUM(T5:T27))</f>
        <v>199.15177244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9.3163634683830251E-2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5.7198540907848097</v>
      </c>
      <c r="K4" s="4">
        <f>(J4/D13-1)</f>
        <v>0.14397081815696189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0.27666237999999999</v>
      </c>
      <c r="C6" s="28">
        <v>0</v>
      </c>
      <c r="D6" s="29">
        <f>(B6*C6)</f>
        <v>0</v>
      </c>
      <c r="E6" s="23">
        <f>(B6*J3)</f>
        <v>2.5774872901079025E-2</v>
      </c>
      <c r="M6" t="s">
        <v>11</v>
      </c>
      <c r="N6" s="35">
        <f>($B$13/5)</f>
        <v>12.279156153999999</v>
      </c>
      <c r="O6" s="23">
        <f>($C$5*[1]Params!K8)</f>
        <v>0.10634970155367125</v>
      </c>
      <c r="P6" s="23">
        <f>(O6*N6)</f>
        <v>1.3058845923088256</v>
      </c>
    </row>
    <row r="7" spans="2:16">
      <c r="N7" s="35">
        <f>($B$13/5)</f>
        <v>12.279156153999999</v>
      </c>
      <c r="O7" s="23">
        <f>($C$5*[1]Params!K9)</f>
        <v>0.13089194037374924</v>
      </c>
      <c r="P7" s="23">
        <f>(O7*N7)</f>
        <v>1.6072425751493238</v>
      </c>
    </row>
    <row r="8" spans="2:16">
      <c r="N8" s="35">
        <f>($B$13/5)</f>
        <v>12.279156153999999</v>
      </c>
      <c r="O8" s="23">
        <f>($C$5*[1]Params!K10)</f>
        <v>0.17997641801390521</v>
      </c>
      <c r="P8" s="23">
        <f>(O8*N8)</f>
        <v>2.2099585408303204</v>
      </c>
    </row>
    <row r="9" spans="2:16">
      <c r="N9" s="35">
        <f>($B$13/5)</f>
        <v>12.279156153999999</v>
      </c>
      <c r="O9" s="23">
        <f>($C$5*[1]Params!K11)</f>
        <v>0.40903731366796636</v>
      </c>
      <c r="P9" s="23">
        <f>(O9*N9)</f>
        <v>5.0226330473416372</v>
      </c>
    </row>
    <row r="11" spans="2:16">
      <c r="P11" s="23">
        <f>(SUM(P6:P9))</f>
        <v>10.145718755630107</v>
      </c>
    </row>
    <row r="12" spans="2:16">
      <c r="F12" t="s">
        <v>9</v>
      </c>
      <c r="G12" s="23">
        <f>(D13/B13)</f>
        <v>8.1438820995386144E-2</v>
      </c>
    </row>
    <row r="13" spans="2:16">
      <c r="B13" s="35">
        <f>(SUM(B5:B12))</f>
        <v>61.395780769999995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33" sqref="J3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7.8275521648719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46.172503986468136</v>
      </c>
      <c r="K4" s="4">
        <f>(J4/D14-1)</f>
        <v>0.52384495620767813</v>
      </c>
      <c r="R4" t="s">
        <v>5</v>
      </c>
      <c r="S4" t="s">
        <v>6</v>
      </c>
      <c r="T4" t="s">
        <v>7</v>
      </c>
    </row>
    <row r="5" spans="2:21">
      <c r="B5" s="26">
        <v>7.1113153100000002</v>
      </c>
      <c r="C5" s="23">
        <f>(D5/B5)</f>
        <v>5.6107763839260842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7.2718829999999998E-2</v>
      </c>
      <c r="S5" s="28">
        <v>0</v>
      </c>
      <c r="T5" s="29">
        <f>(D6)</f>
        <v>0</v>
      </c>
      <c r="U5">
        <f>(R5*J3)</f>
        <v>0.5692104351934516</v>
      </c>
    </row>
    <row r="6" spans="2:21">
      <c r="B6" s="27">
        <v>7.2718829999999998E-2</v>
      </c>
      <c r="C6" s="28">
        <v>0</v>
      </c>
      <c r="D6" s="29">
        <f>(B6*C6)</f>
        <v>0</v>
      </c>
      <c r="E6" s="23">
        <f>(B6*J3)</f>
        <v>0.5692104351934516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5.7382153100000002</v>
      </c>
      <c r="S6" s="23">
        <f>(T6/R6)</f>
        <v>5.6277124951590558</v>
      </c>
      <c r="T6" s="23">
        <f>D5+B11*5.54</f>
        <v>32.293025999999998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1.5356262360000006</v>
      </c>
      <c r="O7" s="23">
        <f>($S$6*[1]Params!K9)</f>
        <v>9.00433999225449</v>
      </c>
      <c r="P7" s="23">
        <f>(O7*N7)</f>
        <v>13.827300729970037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1.4543631180000003</v>
      </c>
      <c r="O8" s="23">
        <f>($C$5*[1]Params!K10)</f>
        <v>12.343708044637387</v>
      </c>
      <c r="P8" s="23">
        <f>(O8*N8)</f>
        <v>17.952233719480517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1.4543631180000003</v>
      </c>
      <c r="O9" s="23">
        <f>($C$5*[1]Params!K11)</f>
        <v>28.05388191963042</v>
      </c>
      <c r="P9" s="23">
        <f>(O9*N9)</f>
        <v>40.800531180637535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82.474407850088085</v>
      </c>
    </row>
    <row r="13" spans="2:21">
      <c r="F13" t="s">
        <v>9</v>
      </c>
      <c r="G13" s="23">
        <f>(D14/B14)</f>
        <v>5.1367116667511663</v>
      </c>
      <c r="N13" s="26"/>
      <c r="P13" s="23"/>
      <c r="R13" s="26">
        <f>(SUM(R5:R12))</f>
        <v>5.8987155900000001</v>
      </c>
      <c r="T13" s="23">
        <f>(SUM(T5:T12))</f>
        <v>30.30000119</v>
      </c>
    </row>
    <row r="14" spans="2:21">
      <c r="B14">
        <f>(SUM(B5:B13))</f>
        <v>5.898715590000001</v>
      </c>
      <c r="D14" s="23">
        <f>(SUM(D5:D13))</f>
        <v>30.300001189999996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63.692716285356752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6.3082635602417456</v>
      </c>
      <c r="K4" s="4">
        <f>(J4/D13-1)</f>
        <v>0.66953483402851854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2.9444800000000002E-3</v>
      </c>
      <c r="C6" s="28">
        <v>0</v>
      </c>
      <c r="D6" s="29">
        <f>(B6*C6)</f>
        <v>0</v>
      </c>
      <c r="E6" s="23">
        <f>(B6*J3)</f>
        <v>0.18754192924790727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2.4758429999999998E-2</v>
      </c>
      <c r="O7" s="23">
        <f>($C$5*[1]Params!K9)</f>
        <v>68.847999999999999</v>
      </c>
      <c r="P7" s="23">
        <f>(O7*N7)</f>
        <v>1.7045683886399998</v>
      </c>
    </row>
    <row r="8" spans="2:17">
      <c r="N8" s="26">
        <f>($B$13-$B$7)/5</f>
        <v>2.4758429999999998E-2</v>
      </c>
      <c r="O8" s="23">
        <f>($C$5*[1]Params!K10)</f>
        <v>94.666000000000011</v>
      </c>
      <c r="P8" s="23">
        <f>(O8*N8)</f>
        <v>2.3437815343800001</v>
      </c>
    </row>
    <row r="9" spans="2:17">
      <c r="N9" s="26">
        <f>($B$13-$B$7)/5</f>
        <v>2.4758429999999998E-2</v>
      </c>
      <c r="O9" s="23">
        <f>($C$5*[1]Params!K11)</f>
        <v>215.15</v>
      </c>
      <c r="P9" s="23">
        <f>(O9*N9)</f>
        <v>5.3267762144999997</v>
      </c>
    </row>
    <row r="11" spans="2:17">
      <c r="P11" s="23">
        <f>(SUM(P6:P9))</f>
        <v>10.796670347519999</v>
      </c>
    </row>
    <row r="12" spans="2:17">
      <c r="F12" t="s">
        <v>9</v>
      </c>
      <c r="G12" s="23">
        <f>(D13/B13)</f>
        <v>38.149977459091915</v>
      </c>
    </row>
    <row r="13" spans="2:17">
      <c r="B13">
        <f>(SUM(B5:B12))</f>
        <v>9.9042149999999995E-2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0.1802916610501783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4.8565754867751485</v>
      </c>
      <c r="K4" s="4">
        <f>(J4/D14-1)</f>
        <v>-8.4336514813884556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43671.370513808462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1273.2754912813175</v>
      </c>
      <c r="K4" s="4">
        <f>(J4/D38-1)</f>
        <v>0.85785841108079319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3.5019000000000001E-4</v>
      </c>
      <c r="C6" s="28">
        <v>0</v>
      </c>
      <c r="D6" s="29">
        <f>(B6*C6)</f>
        <v>0</v>
      </c>
      <c r="E6" s="23">
        <f>(B6*J3)</f>
        <v>15.293277240230585</v>
      </c>
      <c r="I6" t="s">
        <v>11</v>
      </c>
      <c r="J6">
        <v>0.03</v>
      </c>
      <c r="R6" s="26">
        <f t="shared" si="0"/>
        <v>3.5019000000000001E-4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8.4415999999999658E-4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36.865624132936404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6.5727999999999993E-3</v>
      </c>
      <c r="S19" s="23">
        <f t="shared" si="2"/>
        <v>24666.199914800392</v>
      </c>
      <c r="T19" s="23">
        <f>(D23+17438.6*B32)</f>
        <v>162.12599879999999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1.4982299999999999E-3</v>
      </c>
      <c r="S20" s="23">
        <f t="shared" si="2"/>
        <v>26033.358628514983</v>
      </c>
      <c r="T20" s="23">
        <f>(D24+17211.7*B31)</f>
        <v>39.003958898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6.9147999999999996E-3</v>
      </c>
      <c r="C23" s="23">
        <f t="shared" si="3"/>
        <v>24308.729102794008</v>
      </c>
      <c r="D23" s="23">
        <v>168.09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1.55029E-3</v>
      </c>
      <c r="C24" s="23">
        <f t="shared" si="3"/>
        <v>25737.120151713549</v>
      </c>
      <c r="D24" s="23">
        <v>39.9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23506.296418144706</v>
      </c>
      <c r="R37">
        <f>(SUM(R5:R25))</f>
        <v>2.9511639999999995E-2</v>
      </c>
      <c r="T37" s="23">
        <f>(SUM(T5:T25))</f>
        <v>547.68980017000001</v>
      </c>
    </row>
    <row r="38" spans="2:20">
      <c r="B38">
        <f>(SUM(B5:B37))</f>
        <v>2.9155840000000002E-2</v>
      </c>
      <c r="D38" s="23">
        <f>(SUM(D5:D37))</f>
        <v>685.34581736000018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2.42392E-3</v>
      </c>
      <c r="N50" s="23">
        <f>($S$19*[1]Params!K16)</f>
        <v>49332.399829600785</v>
      </c>
      <c r="O50" s="30">
        <f>(N50*M50)</f>
        <v>119.57779059496593</v>
      </c>
    </row>
    <row r="51" spans="12:16">
      <c r="M51">
        <f>($B$23/5)</f>
        <v>1.3829599999999999E-3</v>
      </c>
      <c r="N51" s="23">
        <f>($S$19*[1]Params!K17)</f>
        <v>98664.79965920157</v>
      </c>
      <c r="O51" s="30">
        <f>(N51*M51)</f>
        <v>136.44947133668938</v>
      </c>
    </row>
    <row r="52" spans="12:16">
      <c r="M52">
        <f>($B$23/5)</f>
        <v>1.3829599999999999E-3</v>
      </c>
      <c r="N52" s="23">
        <f>($S$19*[1]Params!K18)</f>
        <v>197329.59931840314</v>
      </c>
      <c r="O52" s="30">
        <f>(N52*M52)</f>
        <v>272.89894267337877</v>
      </c>
    </row>
    <row r="54" spans="12:16">
      <c r="O54" s="30">
        <f>(SUM(O49:O52))</f>
        <v>536.38180460503406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5.6805599999999994E-4</v>
      </c>
      <c r="N58" s="23">
        <f>($S$20*[1]Params!K16)</f>
        <v>52066.717257029966</v>
      </c>
      <c r="O58" s="30">
        <f>(N58*M58)</f>
        <v>29.57681113815941</v>
      </c>
    </row>
    <row r="59" spans="12:16">
      <c r="M59">
        <f>($B$24/5)</f>
        <v>3.1005799999999999E-4</v>
      </c>
      <c r="N59" s="23">
        <f>($S$20*[1]Params!K17)</f>
        <v>104133.43451405993</v>
      </c>
      <c r="O59" s="30">
        <f>(N59*M59)</f>
        <v>32.287404438560394</v>
      </c>
    </row>
    <row r="60" spans="12:16">
      <c r="M60">
        <f>($B$24/5)</f>
        <v>3.1005799999999999E-4</v>
      </c>
      <c r="N60" s="23">
        <f>($S$20*[1]Params!K18)</f>
        <v>208266.86902811987</v>
      </c>
      <c r="O60" s="30">
        <f>(N60*M60)</f>
        <v>64.574808877120788</v>
      </c>
    </row>
    <row r="62" spans="12:16">
      <c r="O62" s="30">
        <f>(SUM(O57:O60))</f>
        <v>127.56143805384059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N8" sqref="N8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9.1685461069397434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13.372011482807524</v>
      </c>
      <c r="K4" s="4">
        <f>(J4/D12-1)</f>
        <v>2.7232106654734731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2.26816E-3</v>
      </c>
      <c r="C6" s="28">
        <v>0</v>
      </c>
      <c r="D6" s="29">
        <f>(B6*C6)</f>
        <v>0</v>
      </c>
      <c r="E6" s="23">
        <f>(B6*J3)</f>
        <v>2.0795729537916446E-2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2.26816E-3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0.50087951599999991</v>
      </c>
      <c r="O8" s="23">
        <f>($C$5*[1]Params!K10)</f>
        <v>10.281572794239395</v>
      </c>
      <c r="P8" s="23">
        <f>(O8*N8)</f>
        <v>5.1498292048973946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2.4625375598438768</v>
      </c>
      <c r="P11" s="23">
        <f>(SUM(P6:P9))</f>
        <v>23.108521674897396</v>
      </c>
      <c r="R11" s="1"/>
      <c r="S11" s="23"/>
      <c r="T11" s="23"/>
    </row>
    <row r="12" spans="2:21">
      <c r="B12">
        <f>(SUM(B5:B11))</f>
        <v>1.45846586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1.45846586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0.8220146206831932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2.4038329735416548</v>
      </c>
      <c r="K4" s="4">
        <f>(J4/D10-1)</f>
        <v>-0.19872234215278173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2.3116979277522209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13.008947974889054</v>
      </c>
      <c r="K4" s="4">
        <f>(J4/D10-1)</f>
        <v>7.069530657523071E-2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1.756446E-2</v>
      </c>
      <c r="C6" s="28">
        <v>0</v>
      </c>
      <c r="D6" s="29">
        <f>(B6*C6)</f>
        <v>0</v>
      </c>
      <c r="E6" s="23">
        <f>(B6*J3)</f>
        <v>4.0603725784086775E-2</v>
      </c>
      <c r="M6" t="s">
        <v>11</v>
      </c>
      <c r="N6" s="1">
        <f>($B$10/5)</f>
        <v>1.1254885700000001</v>
      </c>
      <c r="O6" s="23">
        <f>($C$5*[1]Params!K8)</f>
        <v>2.8155690554996147</v>
      </c>
      <c r="P6" s="23">
        <f>(O6*N6)</f>
        <v>3.1688907900105123</v>
      </c>
    </row>
    <row r="7" spans="2:16">
      <c r="N7" s="1">
        <f>($B$10/5)</f>
        <v>1.1254885700000001</v>
      </c>
      <c r="O7" s="23">
        <f>($C$5*[1]Params!K9)</f>
        <v>3.4653157606149101</v>
      </c>
      <c r="P7" s="23">
        <f>(O7*N7)</f>
        <v>3.9001732800129378</v>
      </c>
    </row>
    <row r="8" spans="2:16">
      <c r="N8" s="1">
        <f>($B$10/5)</f>
        <v>1.1254885700000001</v>
      </c>
      <c r="O8" s="23">
        <f>($C$5*[1]Params!K10)</f>
        <v>4.7648091708455018</v>
      </c>
      <c r="P8" s="23">
        <f>(O8*N8)</f>
        <v>5.3627382600177897</v>
      </c>
    </row>
    <row r="9" spans="2:16">
      <c r="F9" t="s">
        <v>9</v>
      </c>
      <c r="G9" s="23">
        <f>(D10/B10)</f>
        <v>2.159062352805591</v>
      </c>
      <c r="N9" s="1">
        <f>($B$10/5)</f>
        <v>1.1254885700000001</v>
      </c>
      <c r="O9" s="23">
        <f>($C$5*[1]Params!K11)</f>
        <v>10.829111751921594</v>
      </c>
      <c r="P9" s="23">
        <f>(O9*N9)</f>
        <v>12.188041500040432</v>
      </c>
    </row>
    <row r="10" spans="2:16">
      <c r="B10" s="1">
        <f>(SUM(B5:B9))</f>
        <v>5.6274428500000004</v>
      </c>
      <c r="D10" s="23">
        <f>(SUM(D5:D9))</f>
        <v>12.15</v>
      </c>
    </row>
    <row r="11" spans="2:16">
      <c r="P11" s="23">
        <f>(SUM(P6:P9))</f>
        <v>24.61984383008167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15.08789035419634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8.300254348093933</v>
      </c>
      <c r="K4" s="4">
        <f>(J4/D11-1)</f>
        <v>-26.812928702969426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2.3541600000000001E-3</v>
      </c>
      <c r="C6" s="28">
        <v>0</v>
      </c>
      <c r="D6" s="29">
        <f>(B6*C6)</f>
        <v>0</v>
      </c>
      <c r="E6" s="23">
        <f>(B6*J3)</f>
        <v>3.5519307956234855E-2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2.3541600000000001E-3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0.28378152000000001</v>
      </c>
      <c r="O9" s="23">
        <f>($C$5*[1]Params!K11)</f>
        <v>35.091738077914854</v>
      </c>
      <c r="P9" s="23">
        <f>(O9*N9)</f>
        <v>9.958386771192556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-0.58450904691263028</v>
      </c>
      <c r="O10" s="23"/>
      <c r="P10" s="23"/>
      <c r="R10" s="1"/>
      <c r="S10" s="23"/>
      <c r="T10" s="23"/>
      <c r="U10" s="24"/>
    </row>
    <row r="11" spans="2:21">
      <c r="B11">
        <f>(SUM(B5:B10))</f>
        <v>0.55012689999999997</v>
      </c>
      <c r="C11" s="23"/>
      <c r="D11" s="23">
        <f>(SUM(D5:D10))</f>
        <v>-0.32155414999999987</v>
      </c>
      <c r="O11" s="23"/>
      <c r="P11" s="23">
        <f>(SUM(P6:P9))</f>
        <v>19.609940921192553</v>
      </c>
      <c r="R11" s="1"/>
      <c r="S11" s="23"/>
      <c r="T11" s="24"/>
    </row>
    <row r="22" spans="18:20">
      <c r="R22">
        <f>(SUM(R5:R21))</f>
        <v>0.55012689999999986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72.469815134525859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11.892853231755927</v>
      </c>
      <c r="K4" s="4">
        <f>(J4/D15-1)</f>
        <v>0.19659914174841231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1.1500900000000001E-3</v>
      </c>
      <c r="C6" s="28">
        <v>0</v>
      </c>
      <c r="D6" s="29">
        <f>(B6*C6)</f>
        <v>0</v>
      </c>
      <c r="E6" s="23">
        <f>(B6*J3)</f>
        <v>8.3346809688066847E-2</v>
      </c>
      <c r="M6" t="s">
        <v>11</v>
      </c>
      <c r="N6" s="49">
        <f>(SUM(R$5:R$8)/5)</f>
        <v>3.2821536000000005E-2</v>
      </c>
      <c r="O6" s="23">
        <f>($C$7*[1]Params!K8)</f>
        <v>89.451451451451447</v>
      </c>
      <c r="P6" s="23">
        <f>(O6*N6)</f>
        <v>2.9359340340660665</v>
      </c>
      <c r="R6" s="2">
        <f>(B6)</f>
        <v>1.1500900000000001E-3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3.2821536000000005E-2</v>
      </c>
      <c r="O7" s="23">
        <f>($C$7*[1]Params!K9)</f>
        <v>110.09409409409409</v>
      </c>
      <c r="P7" s="23">
        <f>(O7*N7)</f>
        <v>3.6134572726966971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3.2821536000000005E-2</v>
      </c>
      <c r="O8" s="23">
        <f>($C$7*[1]Params!K10)</f>
        <v>151.37937937937937</v>
      </c>
      <c r="P8" s="23">
        <f>(O8*N8)</f>
        <v>4.968503749957959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1.2890590920667735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3.2821536000000005E-2</v>
      </c>
      <c r="O9" s="23">
        <f>($C$7*[1]Params!K11)</f>
        <v>344.04404404404403</v>
      </c>
      <c r="P9" s="23">
        <f>(O9*N9)</f>
        <v>11.292053977177179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22.809949033897901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60.563151523438755</v>
      </c>
    </row>
    <row r="15" spans="2:21">
      <c r="B15" s="1">
        <f>(SUM(B5:B14))</f>
        <v>0.16410768000000001</v>
      </c>
      <c r="D15" s="23">
        <f>(SUM(D5:D14))</f>
        <v>9.9388782899999999</v>
      </c>
    </row>
    <row r="21" spans="18:20">
      <c r="R21">
        <f>(SUM(R5:R20))</f>
        <v>0.16410768000000003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0.97896399505385978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4.0752047299481031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5.5990720000000001E-2</v>
      </c>
      <c r="C6" s="28">
        <v>0</v>
      </c>
      <c r="D6" s="29">
        <f>(B6*C6)</f>
        <v>0</v>
      </c>
      <c r="E6" s="23">
        <f>(B6*J3)</f>
        <v>5.481289893714205E-2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4.1627728400000015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R25" sqref="R25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1.6186979877165719E-4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20.721947159420193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32004.035522172606</v>
      </c>
      <c r="P9" s="23">
        <f>(O9*N9)</f>
        <v>16.002017761086304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4861.3993547600003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4861.3993547600003</v>
      </c>
      <c r="C18" s="28">
        <v>0</v>
      </c>
      <c r="D18" s="29">
        <f>(B18*C18)</f>
        <v>0</v>
      </c>
      <c r="E18" s="23">
        <f>(B18*J3)</f>
        <v>0.78691373530366537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-10.035927523842746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-24.280469815748578</v>
      </c>
    </row>
    <row r="39" spans="2:20">
      <c r="B39">
        <f>(SUM(B5:B38))</f>
        <v>128016.14208869042</v>
      </c>
      <c r="D39" s="23">
        <f>(SUM(D5:D38))</f>
        <v>-76.307382291799911</v>
      </c>
      <c r="F39" t="s">
        <v>9</v>
      </c>
      <c r="G39" s="33">
        <f>(D39/B39)</f>
        <v>-5.9607625293795884E-4</v>
      </c>
      <c r="R39">
        <f>(SUM(R5:R38))</f>
        <v>128016.14208869042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N6" sqref="N6:N9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0.84476697739985518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48.735652333779846</v>
      </c>
      <c r="K4" s="4">
        <f>(J4/D18-1)</f>
        <v>-2.8518776496858411E-2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0.31915746</v>
      </c>
      <c r="C6" s="28">
        <v>0</v>
      </c>
      <c r="D6" s="29">
        <f>(B6*C6)</f>
        <v>0</v>
      </c>
      <c r="E6" s="23">
        <f>(B6*J3)</f>
        <v>0.2696136827988152</v>
      </c>
      <c r="M6" t="s">
        <v>11</v>
      </c>
      <c r="N6" s="19">
        <f>($B$7+$R$9+$R$6)/5</f>
        <v>8.8635517177777778</v>
      </c>
      <c r="O6" s="23">
        <f>($S$7*[1]Params!K8)</f>
        <v>1.1960515459367107</v>
      </c>
      <c r="P6" s="23">
        <f>(O6*N6)</f>
        <v>10.601264734538098</v>
      </c>
      <c r="R6" s="47">
        <f>(B6)</f>
        <v>0.31915746</v>
      </c>
      <c r="S6" s="28">
        <v>0</v>
      </c>
      <c r="T6" s="29">
        <f>(D6)</f>
        <v>0</v>
      </c>
      <c r="U6" s="23">
        <f>(R6*J3)</f>
        <v>0.2696136827988152</v>
      </c>
    </row>
    <row r="7" spans="2:21">
      <c r="B7" s="19">
        <v>43.367696129999999</v>
      </c>
      <c r="C7" s="23">
        <f t="shared" ref="C7:C14" si="0">(D7/B7)</f>
        <v>0.92003965072054661</v>
      </c>
      <c r="D7" s="23">
        <v>39.9</v>
      </c>
      <c r="E7" t="s">
        <v>15</v>
      </c>
      <c r="N7" s="19">
        <f>($B$7+$R$9+$R$6)/5</f>
        <v>8.8635517177777778</v>
      </c>
      <c r="O7" s="23">
        <f>($S$7*[1]Params!K9)</f>
        <v>1.4720634411528746</v>
      </c>
      <c r="P7" s="23">
        <f>(O7*N7)</f>
        <v>13.047710442508428</v>
      </c>
      <c r="R7" s="19">
        <f>B7</f>
        <v>43.367696129999999</v>
      </c>
      <c r="S7" s="23">
        <f>(T7/R7)</f>
        <v>0.92003965072054661</v>
      </c>
      <c r="T7" s="23">
        <f>D7</f>
        <v>39.9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8.8635517177777778</v>
      </c>
      <c r="O8" s="23">
        <f>($S$7*[1]Params!K10)</f>
        <v>2.0240872315852028</v>
      </c>
      <c r="P8" s="23">
        <f>(O8*N8)</f>
        <v>17.940601858449092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8.8635517177777778</v>
      </c>
      <c r="O9" s="23">
        <f>($C$7*[1]Params!K11)</f>
        <v>4.6001982536027333</v>
      </c>
      <c r="P9" s="23">
        <f>(O9*N9)</f>
        <v>40.774095132838838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82.36367216833446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0.86956593391856052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57.691237510000001</v>
      </c>
      <c r="S17" s="23"/>
      <c r="T17" s="23">
        <f>(SUM(T5:T12))</f>
        <v>50.166334824300641</v>
      </c>
    </row>
    <row r="18" spans="2:20">
      <c r="B18" s="19">
        <f>(SUM(B5:B17))</f>
        <v>57.691237510000001</v>
      </c>
      <c r="D18" s="23">
        <f>(SUM(D5:D17))</f>
        <v>50.166334824300641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83" width="9.140625" style="14" customWidth="1"/>
    <col min="84" max="16384" width="9.140625" style="14"/>
  </cols>
  <sheetData>
    <row r="3" spans="2:16">
      <c r="I3" t="s">
        <v>3</v>
      </c>
      <c r="J3" s="45">
        <v>3.1268503288874962E-2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2.0260479712393309</v>
      </c>
      <c r="K4" s="4">
        <f>(J4/D10-1)</f>
        <v>1.3023985619665446E-2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4.6436110000000003E-2</v>
      </c>
      <c r="C6" s="28">
        <v>0</v>
      </c>
      <c r="D6" s="29">
        <f>(B6*C6)</f>
        <v>0</v>
      </c>
      <c r="E6" s="23">
        <f>(B6*J3)</f>
        <v>1.4519876582575596E-3</v>
      </c>
      <c r="M6" t="s">
        <v>11</v>
      </c>
      <c r="N6" s="35">
        <f>($B$10/5)</f>
        <v>12.959033904</v>
      </c>
      <c r="O6" s="45">
        <f>($C$5*[1]Params!K8)</f>
        <v>4.0155225640266315E-2</v>
      </c>
      <c r="P6" s="23">
        <f>(O6*N6)</f>
        <v>0.52037293049498123</v>
      </c>
    </row>
    <row r="7" spans="2:16">
      <c r="B7" s="35"/>
      <c r="C7" s="23"/>
      <c r="D7" s="25"/>
      <c r="E7" s="23"/>
      <c r="N7" s="35">
        <f>($B$10/5)</f>
        <v>12.959033904</v>
      </c>
      <c r="O7" s="45">
        <f>($C$5*[1]Params!K9)</f>
        <v>4.9421816172635469E-2</v>
      </c>
      <c r="P7" s="23">
        <f>(O7*N7)</f>
        <v>0.64045899137843854</v>
      </c>
    </row>
    <row r="8" spans="2:16">
      <c r="N8" s="35">
        <f>($B$10/5)</f>
        <v>12.959033904</v>
      </c>
      <c r="O8" s="45">
        <f>($C$5*[1]Params!K10)</f>
        <v>6.7954997237373763E-2</v>
      </c>
      <c r="P8" s="23">
        <f>(O8*N8)</f>
        <v>0.88063111314535292</v>
      </c>
    </row>
    <row r="9" spans="2:16">
      <c r="F9" t="s">
        <v>9</v>
      </c>
      <c r="G9" s="23">
        <f>(D10/B10)</f>
        <v>3.0866498456843607E-2</v>
      </c>
      <c r="N9" s="35">
        <f>($B$10/5)</f>
        <v>12.959033904</v>
      </c>
      <c r="O9" s="45">
        <f>($C$5*[1]Params!K11)</f>
        <v>0.15444317553948583</v>
      </c>
      <c r="P9" s="23">
        <f>(O9*N9)</f>
        <v>2.0014343480576202</v>
      </c>
    </row>
    <row r="10" spans="2:16">
      <c r="B10" s="35">
        <f>(SUM(B5:B9))</f>
        <v>64.795169520000002</v>
      </c>
      <c r="D10" s="23">
        <f>(SUM(D5:D9))</f>
        <v>2</v>
      </c>
    </row>
    <row r="11" spans="2:16">
      <c r="P11" s="23">
        <f>(SUM(P6:P9))</f>
        <v>4.0428973830763928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0.93387256026544507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51.328795184382784</v>
      </c>
      <c r="K4" s="4">
        <f>(J4/D10-1)</f>
        <v>0.29650909786266189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0.33468298000000002</v>
      </c>
      <c r="C6" s="28">
        <v>0</v>
      </c>
      <c r="D6" s="29">
        <f>(B6*C6)</f>
        <v>0</v>
      </c>
      <c r="E6" s="23">
        <f>(B6*J3)</f>
        <v>0.31255125140986878</v>
      </c>
      <c r="M6" t="s">
        <v>11</v>
      </c>
      <c r="N6" s="35">
        <f>($B$10/5)</f>
        <v>10.992676595999999</v>
      </c>
      <c r="O6" s="23">
        <f>($C$5*[1]Params!K8)</f>
        <v>0.98505771545924514</v>
      </c>
      <c r="P6" s="23">
        <f>(O6*N6)</f>
        <v>10.82842089443807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2.2235505659920247</v>
      </c>
      <c r="N7" s="35">
        <f>($B$10/5)</f>
        <v>10.992676595999999</v>
      </c>
      <c r="O7" s="23">
        <f>($C$5*[1]Params!K9)</f>
        <v>1.2123787267190709</v>
      </c>
      <c r="P7" s="23">
        <f>(O7*N7)</f>
        <v>13.32728725469301</v>
      </c>
    </row>
    <row r="8" spans="2:16">
      <c r="N8" s="35">
        <f>($B$10/5)</f>
        <v>10.992676595999999</v>
      </c>
      <c r="O8" s="23">
        <f>($C$5*[1]Params!K10)</f>
        <v>1.6670207492387226</v>
      </c>
      <c r="P8" s="23">
        <f>(O8*N8)</f>
        <v>18.325019975202888</v>
      </c>
    </row>
    <row r="9" spans="2:16">
      <c r="F9" t="s">
        <v>9</v>
      </c>
      <c r="G9" s="23">
        <f>(D10/B10)</f>
        <v>0.72029773011617493</v>
      </c>
      <c r="N9" s="35">
        <f>($B$10/5)</f>
        <v>10.992676595999999</v>
      </c>
      <c r="O9" s="23">
        <f>($C$5*[1]Params!K11)</f>
        <v>3.7886835209970964</v>
      </c>
      <c r="P9" s="23">
        <f>(O9*N9)</f>
        <v>41.64777267091565</v>
      </c>
    </row>
    <row r="10" spans="2:16">
      <c r="B10" s="35">
        <f>(SUM(B5:B9))</f>
        <v>54.963382979999999</v>
      </c>
      <c r="D10" s="23">
        <f>(SUM(D5:D9))</f>
        <v>39.590000000000003</v>
      </c>
    </row>
    <row r="11" spans="2:16">
      <c r="P11" s="23">
        <f>(SUM(P6:P9))</f>
        <v>84.128500795249607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6"/>
  <sheetViews>
    <sheetView workbookViewId="0">
      <selection activeCell="L21" sqref="L2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3.3584755407790938</v>
      </c>
      <c r="M3" t="s">
        <v>4</v>
      </c>
      <c r="N3" s="26">
        <f>(INDEX(N5:N29,MATCH(MAX(O6:O7,O14:O15),O5:O29,0))/0.9)</f>
        <v>5.0333333333333332</v>
      </c>
      <c r="O3" s="24">
        <f>(MAX(O6:O7,O14:O15)*0.85)</f>
        <v>2.4397671026490069</v>
      </c>
      <c r="P3" s="23">
        <f>(O3*N3)</f>
        <v>12.280161083333335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(B23*J3)</f>
        <v>50.6518227276269</v>
      </c>
      <c r="K4" s="4">
        <f>(J4/D23-1)</f>
        <v>1.8766927440579395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22.5187442</v>
      </c>
      <c r="C6" s="23">
        <f>(D6/B6)</f>
        <v>1.7718572423767751</v>
      </c>
      <c r="D6" s="23">
        <v>39.9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</f>
        <v>13.688744199999999</v>
      </c>
      <c r="S6" s="23">
        <f>(T6/R6)</f>
        <v>1.7818833958486857</v>
      </c>
      <c r="T6" s="23">
        <f>D6+B19*1.74+B21*1.7718</f>
        <v>24.391745999999998</v>
      </c>
      <c r="U6" s="23" t="str">
        <f>(E6)</f>
        <v>DCA2</v>
      </c>
    </row>
    <row r="7" spans="2:22">
      <c r="B7" s="2">
        <v>0.10049766</v>
      </c>
      <c r="C7" s="28">
        <v>0</v>
      </c>
      <c r="D7" s="29">
        <v>0</v>
      </c>
      <c r="E7" s="24">
        <f>B7*J3</f>
        <v>0.33751893301553354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0.10049766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0.59095313235930869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0.57350793970021907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3*(($B$6+$R$8+$R$7)/5)-N15-N14</f>
        <v>4.8230342779999988</v>
      </c>
      <c r="O16" s="23">
        <f>($C$6*[1]Params!K10)</f>
        <v>3.8980859332289057</v>
      </c>
      <c r="P16" s="23">
        <f>(O16*N16)</f>
        <v>18.800602074552629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4.5309118939999999</v>
      </c>
      <c r="O17" s="23">
        <f>($C$6*[1]Params!K11)</f>
        <v>8.8592862118838749</v>
      </c>
      <c r="P17" s="23">
        <f>(O17*N17)</f>
        <v>40.140645269774851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82.101912224327478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C22" s="23"/>
      <c r="D22" s="23"/>
      <c r="F22" t="s">
        <v>9</v>
      </c>
      <c r="G22" s="23">
        <f>(D23/B23)</f>
        <v>1.1674780171487964</v>
      </c>
      <c r="S22" s="23"/>
      <c r="T22" s="23"/>
    </row>
    <row r="23" spans="2:20">
      <c r="B23" s="1">
        <f>(SUM(B5:B22))</f>
        <v>15.081789970659358</v>
      </c>
      <c r="C23" s="23"/>
      <c r="D23" s="23">
        <f>(SUM(D5:D22))</f>
        <v>17.607658249999993</v>
      </c>
      <c r="S23" s="23"/>
      <c r="T23" s="23"/>
    </row>
    <row r="24" spans="2:20">
      <c r="S24" s="23"/>
      <c r="T24" s="23"/>
    </row>
    <row r="25" spans="2:20">
      <c r="S25" s="23"/>
      <c r="T25" s="23"/>
    </row>
    <row r="26" spans="2:20">
      <c r="R26" s="1">
        <f>(SUM(R5:R25))</f>
        <v>15.081789970659363</v>
      </c>
      <c r="S26" s="23"/>
      <c r="T26" s="23">
        <f>(SUM(T5:T25))</f>
        <v>17.607658249999997</v>
      </c>
    </row>
  </sheetData>
  <conditionalFormatting sqref="C5:C6 C12:C14 C16:C17 O8:O9 O16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7" sqref="O7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04" width="9.140625" style="14" customWidth="1"/>
    <col min="105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0.36256245054517588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2.0635448279581783</v>
      </c>
      <c r="K4" s="4">
        <f>(J4/D14-1)</f>
        <v>1.2792007014662707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7.490223E-2</v>
      </c>
      <c r="C6" s="28">
        <v>0</v>
      </c>
      <c r="D6" s="28">
        <f>(B6*C6)</f>
        <v>0</v>
      </c>
      <c r="E6" s="23">
        <f>(B6*J3)</f>
        <v>2.7156736060098389E-2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7.490223E-2</v>
      </c>
      <c r="S6" s="28">
        <v>0</v>
      </c>
      <c r="T6" s="28">
        <f>(D6)</f>
        <v>0</v>
      </c>
      <c r="U6" s="23">
        <f>(E6)</f>
        <v>2.7156736060098389E-2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1.896911386</v>
      </c>
      <c r="O8" s="23">
        <f>($C$5*[1]Params!K10)</f>
        <v>0.51436531459544421</v>
      </c>
      <c r="P8" s="23">
        <f>(O8*N8)</f>
        <v>0.9757054218195701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1.896911386</v>
      </c>
      <c r="O9" s="23">
        <f>($C$5*[1]Params!K11)</f>
        <v>1.1690120786260096</v>
      </c>
      <c r="P9" s="23">
        <f>(O9*N9)</f>
        <v>2.2175123223172051</v>
      </c>
      <c r="Q9" s="24"/>
    </row>
    <row r="10" spans="2:21">
      <c r="B10" s="35"/>
      <c r="C10" s="23"/>
      <c r="D10" s="23"/>
    </row>
    <row r="12" spans="2:21">
      <c r="P12" s="23">
        <f>(SUM(P6:P9))</f>
        <v>4.4638727441367756</v>
      </c>
    </row>
    <row r="13" spans="2:21">
      <c r="F13" t="s">
        <v>9</v>
      </c>
      <c r="G13" s="23">
        <f>(D14/B14)</f>
        <v>0.1590743852930239</v>
      </c>
    </row>
    <row r="14" spans="2:21">
      <c r="B14" s="35">
        <f>(SUM(B5:B13))</f>
        <v>5.69155693</v>
      </c>
      <c r="D14" s="23">
        <f>(SUM(D5:D13))</f>
        <v>0.90538092000000026</v>
      </c>
    </row>
    <row r="17" spans="11:20">
      <c r="N17" s="35"/>
      <c r="R17" s="35">
        <f>(SUM(R5:R16))</f>
        <v>9.4845569300000001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8:O9">
    <cfRule type="cellIs" dxfId="69" priority="9" operator="lessThan">
      <formula>$J$3</formula>
    </cfRule>
    <cfRule type="cellIs" dxfId="68" priority="10" operator="greater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G13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O3">
    <cfRule type="cellIs" dxfId="63" priority="1" operator="greaterThan">
      <formula>$J$3</formula>
    </cfRule>
    <cfRule type="cellIs" dxfId="6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1.0715759312205221E-5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4.7126840022299206</v>
      </c>
      <c r="K4" s="4">
        <f>(J4/D13-1)</f>
        <v>-6.3084691405582483E-2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258.33999999999997</v>
      </c>
      <c r="C6" s="28">
        <v>0</v>
      </c>
      <c r="D6" s="29">
        <f>(B6*C6)</f>
        <v>0</v>
      </c>
      <c r="E6" s="23">
        <f>(B6*J3)</f>
        <v>2.7683092607150963E-3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1.1437276362023859E-5</v>
      </c>
    </row>
    <row r="13" spans="2:16">
      <c r="B13">
        <f>(SUM(B5:B12))</f>
        <v>439790.02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4.809412131938624E-3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2.8827616318840112</v>
      </c>
      <c r="K4" s="4">
        <f>(J4/D10-1)</f>
        <v>-3.9079456038662919E-2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B46" sqref="B46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96.251582394271523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366.85425337476022</v>
      </c>
      <c r="K4" s="4">
        <f>(J4/D43-1)</f>
        <v>7.2078273670497932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0.20212832302797018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2.4512787999999999</v>
      </c>
      <c r="S13" s="23">
        <f>(T13/R13)</f>
        <v>22.412981753034376</v>
      </c>
      <c r="T13" s="23">
        <f>(D17+11.97*B21+B37*19.42078-N16*19.42078)</f>
        <v>54.940467015999999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0.59300725040168267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6.2685110000000002E-2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5.0799467652884463E-2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0.76839725000000014</v>
      </c>
      <c r="S15" s="23">
        <f>(T15/R15)</f>
        <v>23.572310286118274</v>
      </c>
      <c r="T15" s="23">
        <f>(D19+12.6*B22+20.2393*B39-20.2393*N25)</f>
        <v>18.112898399999999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6.0449788</v>
      </c>
      <c r="C17" s="23">
        <f>(D17/B17)</f>
        <v>20.287912341396467</v>
      </c>
      <c r="D17" s="23">
        <v>122.64</v>
      </c>
      <c r="E17" t="s">
        <v>10</v>
      </c>
      <c r="N17" s="26">
        <f>(B17+R21+R14)/5</f>
        <v>1.2305473060000001</v>
      </c>
      <c r="O17" s="23">
        <f>($S$13*[1]Params!K11)</f>
        <v>112.06490876517188</v>
      </c>
      <c r="P17" s="23">
        <f>(O17*N17)</f>
        <v>137.90117157811804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6.2685110000000002E-2</v>
      </c>
      <c r="C18" s="28">
        <v>0</v>
      </c>
      <c r="D18" s="29">
        <v>0</v>
      </c>
      <c r="E18" s="24">
        <f>B18*J3</f>
        <v>6.0335410300589736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1.87183725</v>
      </c>
      <c r="C19" s="23">
        <f t="shared" ref="C19:C32" si="1">(D19/B19)</f>
        <v>21.315955754166126</v>
      </c>
      <c r="D19" s="23">
        <v>39.9</v>
      </c>
      <c r="E19" t="s">
        <v>15</v>
      </c>
      <c r="O19" s="23"/>
      <c r="P19" s="23">
        <f>(SUM(P14:P17))</f>
        <v>265.17589601834845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86</v>
      </c>
      <c r="V19" s="24">
        <f>-T19+R19*$J$3</f>
        <v>0.6843922201854592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4.2111946845853421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4.79346291765569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37.715696457789242</v>
      </c>
      <c r="P24" s="23">
        <f>(O24*N24)</f>
        <v>24.515202697563009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($B$19+$R$19)/5</f>
        <v>0.37564433600000002</v>
      </c>
      <c r="O26" s="23">
        <f>($S$15*[1]Params!K11)</f>
        <v>117.86155143059136</v>
      </c>
      <c r="P26" s="23">
        <f>(O26*N26)</f>
        <v>44.274024227074342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87.853269284406991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3.8114101009999994</v>
      </c>
      <c r="C43" s="23"/>
      <c r="D43" s="23">
        <f>(SUM(D5:D42))</f>
        <v>44.695659030000002</v>
      </c>
      <c r="E43" s="23"/>
      <c r="F43" t="s">
        <v>9</v>
      </c>
      <c r="G43" s="23">
        <f>(D43/B43)</f>
        <v>11.72680395066204</v>
      </c>
      <c r="R43" s="26">
        <f>(SUM(R5:R36))</f>
        <v>3.811410100999999</v>
      </c>
      <c r="S43" s="23"/>
      <c r="T43" s="23">
        <f>(SUM(T5:T36))</f>
        <v>44.693659160230382</v>
      </c>
      <c r="V43" t="s">
        <v>9</v>
      </c>
      <c r="W43" s="23">
        <f>(T43/R43)</f>
        <v>11.726279244656489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R23" sqref="R2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0.10514703077565341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0.98295885779660774</v>
      </c>
      <c r="K4" s="4">
        <f>(J4/D13-1)</f>
        <v>0.96591771559321549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0.24716403000000001</v>
      </c>
      <c r="C6" s="28">
        <v>0</v>
      </c>
      <c r="D6" s="29">
        <f>(B6*C6)</f>
        <v>0</v>
      </c>
      <c r="E6" s="23">
        <f>(B6*J3)</f>
        <v>2.5988563869044523E-2</v>
      </c>
      <c r="G6" s="23"/>
      <c r="M6" t="s">
        <v>11</v>
      </c>
      <c r="N6" s="19">
        <f>($B$13/5)</f>
        <v>1.8696844800000001</v>
      </c>
      <c r="O6" s="45">
        <f>($C$5*[1]Params!K8)</f>
        <v>7.1418695478700056E-2</v>
      </c>
      <c r="P6" s="23">
        <f>(O6*N6)</f>
        <v>0.13353042651837166</v>
      </c>
      <c r="Q6" s="23">
        <f>N6*$J$3</f>
        <v>0.19659177155932153</v>
      </c>
    </row>
    <row r="7" spans="2:17">
      <c r="C7" s="23"/>
      <c r="D7" s="23"/>
      <c r="E7" s="23"/>
      <c r="G7" s="23"/>
      <c r="N7" s="19">
        <f>($B$13/5)</f>
        <v>1.8696844800000001</v>
      </c>
      <c r="O7" s="45">
        <f>($C$5*[1]Params!K9)</f>
        <v>8.7899932896861599E-2</v>
      </c>
      <c r="P7" s="23">
        <f>(O7*N7)</f>
        <v>0.16434514033030359</v>
      </c>
      <c r="Q7" s="23">
        <f>Q6*2</f>
        <v>0.39318354311864306</v>
      </c>
    </row>
    <row r="8" spans="2:17">
      <c r="C8" s="23"/>
      <c r="D8" s="23"/>
      <c r="E8" s="23"/>
      <c r="G8" s="23"/>
      <c r="N8" s="19">
        <f>($B$13/5)</f>
        <v>1.8696844800000001</v>
      </c>
      <c r="O8" s="45">
        <f>($C$5*[1]Params!K10)</f>
        <v>0.12086240773318471</v>
      </c>
      <c r="P8" s="23">
        <f>(O8*N8)</f>
        <v>0.22597456795416745</v>
      </c>
      <c r="Q8" s="23">
        <f>Q6*3</f>
        <v>0.58977531467796462</v>
      </c>
    </row>
    <row r="9" spans="2:17">
      <c r="C9" s="23"/>
      <c r="D9" s="23"/>
      <c r="E9" s="23"/>
      <c r="G9" s="23"/>
      <c r="N9" s="19">
        <f>($B$13/5)</f>
        <v>1.8696844800000001</v>
      </c>
      <c r="O9" s="45">
        <f>($C$5*[1]Params!K11)</f>
        <v>0.27468729030269251</v>
      </c>
      <c r="P9" s="23">
        <f>(O9*N9)</f>
        <v>0.51357856353219866</v>
      </c>
      <c r="Q9" s="23">
        <f>Q6*4</f>
        <v>0.78636708623728613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1.0374286983350414</v>
      </c>
    </row>
    <row r="12" spans="2:17">
      <c r="C12" s="23"/>
      <c r="D12" s="23"/>
      <c r="E12" s="23"/>
      <c r="F12" t="s">
        <v>9</v>
      </c>
      <c r="G12" s="23">
        <f>(D13/B13)</f>
        <v>5.3484960200343531E-2</v>
      </c>
    </row>
    <row r="13" spans="2:17">
      <c r="B13">
        <f>(SUM(B5:B12))</f>
        <v>9.3484224000000005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6.2204940101057602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12.758000941480578</v>
      </c>
      <c r="K4" s="4">
        <f>(J4/D10-1)</f>
        <v>0.13404452813160694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2.5902899999999999E-3</v>
      </c>
      <c r="C6" s="28">
        <v>0</v>
      </c>
      <c r="D6" s="28">
        <f>(B6*C6)</f>
        <v>0</v>
      </c>
      <c r="E6" s="23">
        <f>(B6*J3)</f>
        <v>1.6112883429436849E-2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5.4852290679928801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2.0509626600000002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7" sqref="R7:T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0.61749538158092487</v>
      </c>
      <c r="M3" t="s">
        <v>4</v>
      </c>
      <c r="N3" s="19">
        <f>(INDEX(N5:N14,MATCH(MAX(O6:O7),O5:O14,0))/0.9)</f>
        <v>11.469602970370371</v>
      </c>
      <c r="O3" s="52">
        <f>(MAX(O6:O7)*0.85)</f>
        <v>0.48540838895304461</v>
      </c>
      <c r="P3" s="23">
        <f>(O3*N3)</f>
        <v>5.5674414997785364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19.122552529480515</v>
      </c>
      <c r="K4" s="4">
        <f>(J4/D14-1)</f>
        <v>7.1783833625543974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54.375202420000001</v>
      </c>
      <c r="S5" s="23">
        <f>(T5/R5)</f>
        <v>0.35126306018080661</v>
      </c>
      <c r="T5" s="23">
        <f>(SUM(D5:D7))</f>
        <v>19.100000000000001</v>
      </c>
    </row>
    <row r="6" spans="2:21">
      <c r="B6" s="20">
        <v>0.80019094999999996</v>
      </c>
      <c r="C6" s="28">
        <v>0</v>
      </c>
      <c r="D6" s="28">
        <f>(B6*C6)</f>
        <v>0</v>
      </c>
      <c r="E6" s="23">
        <f>(B6*J3)</f>
        <v>0.49411421600785277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10.322642673333334</v>
      </c>
      <c r="O7" s="23">
        <f>($C$5*[1]Params!K9)</f>
        <v>0.57106869288593487</v>
      </c>
      <c r="P7" s="23">
        <f>(O7*N7)</f>
        <v>5.8949380585890392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10.322642673333334</v>
      </c>
      <c r="O8" s="23">
        <f>($C$5*[1]Params!K10)</f>
        <v>0.78521945271816052</v>
      </c>
      <c r="P8" s="23">
        <f>(O8*N8)</f>
        <v>8.1055398305599304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10.322642673333334</v>
      </c>
      <c r="O9" s="23">
        <f>($C$5*[1]Params!K11)</f>
        <v>1.7845896652685465</v>
      </c>
      <c r="P9" s="23">
        <f>(O9*N9)</f>
        <v>18.421681433090747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37.474856682239718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7.5503354906080039E-2</v>
      </c>
    </row>
    <row r="14" spans="2:21">
      <c r="B14" s="19">
        <f>(SUM(B5:B13))</f>
        <v>30.967928020000002</v>
      </c>
      <c r="D14" s="23">
        <f>(SUM(D5:D13))</f>
        <v>2.3381824600000005</v>
      </c>
    </row>
    <row r="18" spans="12:20">
      <c r="R18">
        <f>(SUM(R5:R17))</f>
        <v>30.967928020000002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67" width="9.140625" style="14" customWidth="1"/>
    <col min="68" max="16384" width="9.140625" style="14"/>
  </cols>
  <sheetData>
    <row r="3" spans="2:21">
      <c r="I3" t="s">
        <v>3</v>
      </c>
      <c r="J3" s="45">
        <v>12.340898417852619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5.9006010261688138</v>
      </c>
      <c r="K4" s="4">
        <f>(J4/D14-1)</f>
        <v>-1.6336974265859672E-2</v>
      </c>
      <c r="R4" t="s">
        <v>5</v>
      </c>
      <c r="S4" t="s">
        <v>6</v>
      </c>
      <c r="T4" t="s">
        <v>7</v>
      </c>
    </row>
    <row r="5" spans="2:21">
      <c r="B5" s="1">
        <v>0.47808323000000003</v>
      </c>
      <c r="C5" s="23">
        <f>(D5/B5)</f>
        <v>12.54718765182372</v>
      </c>
      <c r="D5" s="23">
        <v>5.9985999999999997</v>
      </c>
      <c r="E5" t="s">
        <v>99</v>
      </c>
      <c r="N5" t="s">
        <v>32</v>
      </c>
      <c r="O5" t="s">
        <v>1</v>
      </c>
      <c r="P5" t="s">
        <v>2</v>
      </c>
      <c r="R5" s="19">
        <f>B5</f>
        <v>0.47808323000000003</v>
      </c>
      <c r="S5" s="23">
        <f>(T5/R5)</f>
        <v>12.54718765182372</v>
      </c>
      <c r="T5" s="23">
        <f>D5</f>
        <v>5.9985999999999997</v>
      </c>
    </row>
    <row r="6" spans="2:21">
      <c r="B6" s="2">
        <v>5.0599999999999997E-5</v>
      </c>
      <c r="C6" s="28">
        <v>0</v>
      </c>
      <c r="D6" s="28">
        <f>(B6*C6)</f>
        <v>0</v>
      </c>
      <c r="E6" s="23">
        <f>(B6*J3)</f>
        <v>6.2444945994334254E-4</v>
      </c>
      <c r="M6" t="s">
        <v>11</v>
      </c>
      <c r="N6" s="19">
        <f>(B$14/5)</f>
        <v>9.5626766000000002E-2</v>
      </c>
      <c r="O6" s="23">
        <f>($C$5*[1]Params!K8)</f>
        <v>16.311343947370837</v>
      </c>
      <c r="P6" s="23">
        <f>(O6*N6)</f>
        <v>1.5598010708007473</v>
      </c>
      <c r="R6" s="19">
        <f>(B6)</f>
        <v>5.0599999999999997E-5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9.5626766000000002E-2</v>
      </c>
      <c r="O7" s="23">
        <f>($C$5*[1]Params!K9)</f>
        <v>20.075500242917954</v>
      </c>
      <c r="P7" s="23">
        <f>(O7*N7)</f>
        <v>1.9197551640624584</v>
      </c>
      <c r="R7" s="19"/>
      <c r="S7" s="23"/>
      <c r="T7" s="24"/>
      <c r="U7" s="24"/>
    </row>
    <row r="8" spans="2:21">
      <c r="C8" s="23"/>
      <c r="D8" s="23"/>
      <c r="N8" s="19">
        <f>(B$14/5)</f>
        <v>9.5626766000000002E-2</v>
      </c>
      <c r="O8" s="23">
        <f>($C$5*[1]Params!K10)</f>
        <v>27.603812834012185</v>
      </c>
      <c r="P8" s="23">
        <f>(O8*N8)</f>
        <v>2.63966335058588</v>
      </c>
      <c r="R8" s="19"/>
      <c r="S8" s="24"/>
      <c r="T8" s="24"/>
    </row>
    <row r="9" spans="2:21">
      <c r="C9" s="24"/>
      <c r="D9" s="23"/>
      <c r="N9" s="19">
        <f>(B$14/5)</f>
        <v>9.5626766000000002E-2</v>
      </c>
      <c r="O9" s="23">
        <f>($C$5*[1]Params!K11)</f>
        <v>62.735938259118598</v>
      </c>
      <c r="P9" s="23">
        <f>(O9*N9)</f>
        <v>5.9992348876951818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12.118454473144268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12.545859806657059</v>
      </c>
    </row>
    <row r="14" spans="2:21">
      <c r="B14" s="19">
        <f>(SUM(B5:B13))</f>
        <v>0.47813383000000004</v>
      </c>
      <c r="D14" s="23">
        <f>(SUM(D5:D13))</f>
        <v>5.9985999999999997</v>
      </c>
    </row>
    <row r="18" spans="12:20">
      <c r="R18">
        <f>(SUM(R5:R17))</f>
        <v>0.47813383000000004</v>
      </c>
      <c r="T18" s="23">
        <f>(SUM(T5:T17))</f>
        <v>5.9985999999999997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67" width="9.140625" style="14" customWidth="1"/>
    <col min="68" max="16384" width="9.140625" style="14"/>
  </cols>
  <sheetData>
    <row r="3" spans="2:21">
      <c r="I3" t="s">
        <v>3</v>
      </c>
      <c r="J3" s="45">
        <v>3.1076925991372821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4.1983709731153596</v>
      </c>
      <c r="K4" s="4">
        <f>(J4/D14-1)</f>
        <v>5.0065272651532933E-2</v>
      </c>
      <c r="R4" t="s">
        <v>5</v>
      </c>
      <c r="S4" t="s">
        <v>6</v>
      </c>
      <c r="T4" t="s">
        <v>7</v>
      </c>
    </row>
    <row r="5" spans="2:21">
      <c r="B5" s="35">
        <v>1.35095111</v>
      </c>
      <c r="C5" s="23">
        <f>(D5/B5)</f>
        <v>2.9595445537625711</v>
      </c>
      <c r="D5" s="23">
        <v>3.9982000000000002</v>
      </c>
      <c r="E5" t="s">
        <v>99</v>
      </c>
      <c r="N5" t="s">
        <v>32</v>
      </c>
      <c r="O5" t="s">
        <v>1</v>
      </c>
      <c r="P5" t="s">
        <v>2</v>
      </c>
      <c r="R5" s="19">
        <f>B5</f>
        <v>1.35095111</v>
      </c>
      <c r="S5" s="23">
        <f>(T5/R5)</f>
        <v>2.9595445537625711</v>
      </c>
      <c r="T5" s="23">
        <f>D5</f>
        <v>3.9982000000000002</v>
      </c>
    </row>
    <row r="6" spans="2:21">
      <c r="B6" s="47">
        <v>9.7200000000000001E-6</v>
      </c>
      <c r="C6" s="28">
        <v>0</v>
      </c>
      <c r="D6" s="28">
        <f>(B6*C6)</f>
        <v>0</v>
      </c>
      <c r="E6" s="23">
        <f>(B6*J3)</f>
        <v>3.0206772063614384E-5</v>
      </c>
      <c r="M6" t="s">
        <v>11</v>
      </c>
      <c r="N6" s="19">
        <f>(B$14/5)</f>
        <v>0.27019216600000001</v>
      </c>
      <c r="O6" s="23">
        <f>($C$5*[1]Params!K8)</f>
        <v>3.8474079198913427</v>
      </c>
      <c r="P6" s="23">
        <f>(O6*N6)</f>
        <v>1.0395394793609964</v>
      </c>
      <c r="R6" s="19">
        <f>(B6)</f>
        <v>9.7200000000000001E-6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0.27019216600000001</v>
      </c>
      <c r="O7" s="23">
        <f>($C$5*[1]Params!K9)</f>
        <v>4.7352712860201143</v>
      </c>
      <c r="P7" s="23">
        <f>(O7*N7)</f>
        <v>1.2794332053673803</v>
      </c>
      <c r="R7" s="19"/>
      <c r="S7" s="23"/>
      <c r="T7" s="24"/>
      <c r="U7" s="24"/>
    </row>
    <row r="8" spans="2:21">
      <c r="C8" s="23"/>
      <c r="D8" s="23"/>
      <c r="N8" s="19">
        <f>(B$14/5)</f>
        <v>0.27019216600000001</v>
      </c>
      <c r="O8" s="23">
        <f>($C$5*[1]Params!K10)</f>
        <v>6.5109980182776566</v>
      </c>
      <c r="P8" s="23">
        <f>(O8*N8)</f>
        <v>1.7592206573801477</v>
      </c>
      <c r="R8" s="19"/>
      <c r="S8" s="24"/>
      <c r="T8" s="24"/>
    </row>
    <row r="9" spans="2:21">
      <c r="C9" s="24"/>
      <c r="D9" s="23"/>
      <c r="N9" s="19">
        <f>(B$14/5)</f>
        <v>0.27019216600000001</v>
      </c>
      <c r="O9" s="23">
        <f>($C$5*[1]Params!K11)</f>
        <v>14.797722768812855</v>
      </c>
      <c r="P9" s="23">
        <f>(O9*N9)</f>
        <v>3.9982287667730629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8.0764221088815873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2.959523260196967</v>
      </c>
    </row>
    <row r="14" spans="2:21">
      <c r="B14" s="19">
        <f>(SUM(B5:B13))</f>
        <v>1.35096083</v>
      </c>
      <c r="D14" s="23">
        <f>(SUM(D5:D13))</f>
        <v>3.9982000000000002</v>
      </c>
    </row>
    <row r="18" spans="12:20">
      <c r="R18">
        <f>(SUM(R5:R17))</f>
        <v>1.35096083</v>
      </c>
      <c r="T18" s="23">
        <f>(SUM(T5:T17))</f>
        <v>3.9982000000000002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0.51012675404286367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3.1035091462459738</v>
      </c>
      <c r="K4" s="4">
        <f>(J4/D9-1)</f>
        <v>-0.8924913466702431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36" sqref="L3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736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6.3678143366985998E-3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9.9457623923812832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-54.066639999999943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-251.07087760761866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-140.06087760761864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736</v>
      </c>
      <c r="E35">
        <f t="shared" ref="E35:E41" si="1">C35*D35</f>
        <v>4602.9439999999995</v>
      </c>
      <c r="F35" s="35">
        <f t="shared" ref="F35:F41" si="2">E35*$N$5</f>
        <v>3682.3552</v>
      </c>
      <c r="G35" s="23">
        <v>3.5</v>
      </c>
      <c r="H35" s="36">
        <f>G51</f>
        <v>1.5615590400000001</v>
      </c>
      <c r="I35" s="24">
        <f t="shared" ref="I35:I42" si="3">((F35-H35*D35)*$J$3-G35)</f>
        <v>12.629977756086848</v>
      </c>
      <c r="J35">
        <v>1</v>
      </c>
      <c r="K35" s="37">
        <f t="shared" ref="K35:K41" si="4">I35*J35</f>
        <v>12.629977756086848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736</v>
      </c>
      <c r="E36">
        <f t="shared" si="1"/>
        <v>710.976</v>
      </c>
      <c r="F36" s="35">
        <f t="shared" si="2"/>
        <v>568.7808</v>
      </c>
      <c r="G36" s="23">
        <v>3.5</v>
      </c>
      <c r="H36" s="36">
        <f>G52</f>
        <v>0.21337130135885166</v>
      </c>
      <c r="I36" s="24">
        <f t="shared" si="3"/>
        <v>-0.87811916755013986</v>
      </c>
      <c r="J36">
        <v>1</v>
      </c>
      <c r="K36" s="37">
        <f t="shared" si="4"/>
        <v>-0.87811916755013986</v>
      </c>
      <c r="L36" s="38">
        <v>8.4</v>
      </c>
      <c r="M36" s="38">
        <f t="shared" si="5"/>
        <v>8.4</v>
      </c>
    </row>
    <row r="37" spans="2:22">
      <c r="B37" s="8" t="s">
        <v>47</v>
      </c>
      <c r="C37">
        <v>0.85099999999999998</v>
      </c>
      <c r="D37">
        <f>$H$2</f>
        <v>736</v>
      </c>
      <c r="E37">
        <f t="shared" si="1"/>
        <v>626.33600000000001</v>
      </c>
      <c r="F37" s="35">
        <f t="shared" si="2"/>
        <v>501.06880000000001</v>
      </c>
      <c r="G37" s="23">
        <v>3.5</v>
      </c>
      <c r="H37" s="36">
        <f>G53</f>
        <v>0.18479602162162162</v>
      </c>
      <c r="I37" s="24">
        <f t="shared" si="3"/>
        <v>-1.1753725239910482</v>
      </c>
      <c r="J37">
        <v>1</v>
      </c>
      <c r="K37" s="37">
        <f t="shared" si="4"/>
        <v>-1.1753725239910482</v>
      </c>
      <c r="L37" s="38">
        <v>6.81</v>
      </c>
      <c r="M37" s="38">
        <f t="shared" si="5"/>
        <v>6.81</v>
      </c>
    </row>
    <row r="38" spans="2:22">
      <c r="B38" s="8" t="s">
        <v>47</v>
      </c>
      <c r="C38">
        <v>0.85099999999999998</v>
      </c>
      <c r="D38">
        <f>$H$2-34</f>
        <v>702</v>
      </c>
      <c r="E38">
        <f t="shared" si="1"/>
        <v>597.40199999999993</v>
      </c>
      <c r="F38" s="35">
        <f t="shared" si="2"/>
        <v>477.92159999999996</v>
      </c>
      <c r="G38" s="23">
        <v>0</v>
      </c>
      <c r="H38" s="36">
        <f>G53</f>
        <v>0.18479602162162162</v>
      </c>
      <c r="I38" s="24">
        <f t="shared" si="3"/>
        <v>2.2172397936933206</v>
      </c>
      <c r="J38">
        <v>3</v>
      </c>
      <c r="K38" s="37">
        <f t="shared" si="4"/>
        <v>6.6517193810799622</v>
      </c>
      <c r="L38" s="38">
        <f>L37</f>
        <v>6.81</v>
      </c>
      <c r="M38" s="38">
        <f t="shared" si="5"/>
        <v>20.43</v>
      </c>
    </row>
    <row r="39" spans="2:22">
      <c r="B39" s="8" t="s">
        <v>47</v>
      </c>
      <c r="C39">
        <v>0.85099999999999998</v>
      </c>
      <c r="D39">
        <f>$H$2-34-58</f>
        <v>644</v>
      </c>
      <c r="E39">
        <f t="shared" si="1"/>
        <v>548.04399999999998</v>
      </c>
      <c r="F39" s="35">
        <f t="shared" si="2"/>
        <v>438.43520000000001</v>
      </c>
      <c r="G39" s="23">
        <v>0</v>
      </c>
      <c r="H39" s="36">
        <f>H38</f>
        <v>0.18479602162162162</v>
      </c>
      <c r="I39" s="24">
        <f t="shared" si="3"/>
        <v>2.0340490415078327</v>
      </c>
      <c r="J39">
        <v>1</v>
      </c>
      <c r="K39" s="37">
        <f t="shared" si="4"/>
        <v>2.0340490415078327</v>
      </c>
      <c r="L39" s="38">
        <f>L38</f>
        <v>6.81</v>
      </c>
      <c r="M39" s="38">
        <f t="shared" si="5"/>
        <v>6.81</v>
      </c>
    </row>
    <row r="40" spans="2:22">
      <c r="B40" s="8" t="s">
        <v>47</v>
      </c>
      <c r="C40">
        <v>0.85099999999999998</v>
      </c>
      <c r="D40">
        <f>$H$2-140</f>
        <v>596</v>
      </c>
      <c r="E40">
        <f t="shared" si="1"/>
        <v>507.19599999999997</v>
      </c>
      <c r="F40" s="35">
        <f t="shared" si="2"/>
        <v>405.7568</v>
      </c>
      <c r="G40" s="23">
        <v>0</v>
      </c>
      <c r="H40" s="36">
        <f>H39</f>
        <v>0.18479602162162162</v>
      </c>
      <c r="I40" s="24">
        <f t="shared" si="3"/>
        <v>1.8824429017681183</v>
      </c>
      <c r="J40">
        <v>1</v>
      </c>
      <c r="K40" s="37">
        <f t="shared" si="4"/>
        <v>1.8824429017681183</v>
      </c>
      <c r="L40" s="38">
        <f>L39</f>
        <v>6.81</v>
      </c>
      <c r="M40" s="38">
        <f t="shared" si="5"/>
        <v>6.81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0.24936366612974215</v>
      </c>
      <c r="J41" s="16">
        <v>1</v>
      </c>
      <c r="K41" s="41">
        <f t="shared" si="4"/>
        <v>0.24936366612974215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1.3897229476140476</v>
      </c>
      <c r="J42" s="16">
        <v>1</v>
      </c>
      <c r="K42" s="41">
        <f>(I42*J42)</f>
        <v>1.3897229476140476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111.01</v>
      </c>
      <c r="O47" s="38">
        <f>(J13+SUM(G35:G41)-D77)</f>
        <v>1.9660103923812855</v>
      </c>
      <c r="P47">
        <f>(O47/J3)</f>
        <v>308.74178932179194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(-300/3)</f>
        <v>-100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G40" sqref="G40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74" width="9.140625" style="14" customWidth="1"/>
    <col min="75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13.71169982320812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4.3033829844983069</v>
      </c>
      <c r="K4" s="4">
        <f>(J4/D13-1)</f>
        <v>-3.6524381241185617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7.7300000000000005E-6</v>
      </c>
      <c r="C6" s="28">
        <v>0</v>
      </c>
      <c r="D6" s="28">
        <f>(B6*C6)</f>
        <v>0</v>
      </c>
      <c r="E6" s="23">
        <f>(B6*J3)</f>
        <v>1.0599143963339877E-4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7.7300000000000005E-6</v>
      </c>
      <c r="S6" s="28">
        <v>0</v>
      </c>
      <c r="T6" s="28">
        <f>(D6)</f>
        <v>0</v>
      </c>
      <c r="U6" s="23">
        <f>(R6*J3)</f>
        <v>1.0599143963339877E-4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0.11888027599999999</v>
      </c>
      <c r="O9" s="23">
        <f>($C$5*[1]Params!K11)</f>
        <v>20</v>
      </c>
      <c r="P9" s="23">
        <f>(O9*N9)</f>
        <v>2.3776055199999999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4.8027316120000005</v>
      </c>
    </row>
    <row r="12" spans="2:21">
      <c r="F12" t="s">
        <v>9</v>
      </c>
      <c r="G12" s="45">
        <f>(D13/B13)</f>
        <v>-5.169470193678765</v>
      </c>
    </row>
    <row r="13" spans="2:21">
      <c r="B13" s="1">
        <f>(SUM(B5:B12))</f>
        <v>0.31384751999999999</v>
      </c>
      <c r="D13" s="23">
        <f>(SUM(D5:D12))</f>
        <v>-1.6224254</v>
      </c>
      <c r="R13" s="1">
        <f>(SUM(R5:R12))</f>
        <v>0.59440137999999998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1.0432180708102623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0.60798531336961414</v>
      </c>
      <c r="M3" t="s">
        <v>4</v>
      </c>
      <c r="N3" s="26">
        <f>(INDEX(N5:N21,MATCH(MAX(O6:O7),O5:O21,0))/0.9)</f>
        <v>25</v>
      </c>
      <c r="O3" s="24">
        <f>(MAX(O6:O7)*0.85)</f>
        <v>0.47791727405050299</v>
      </c>
      <c r="P3" s="45">
        <f>(O3*N3)</f>
        <v>11.947931851262576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44.168331373423364</v>
      </c>
      <c r="K4" s="4">
        <f>(J4/D13-1)</f>
        <v>1.4535770529934124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0.72509721000000005</v>
      </c>
      <c r="C6" s="28">
        <v>0</v>
      </c>
      <c r="D6" s="28">
        <f>(B6*C6)</f>
        <v>0</v>
      </c>
      <c r="E6" s="23">
        <f>(B6*J3)</f>
        <v>0.44084845444528292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0.72509721000000005</v>
      </c>
      <c r="S6" s="28">
        <v>0</v>
      </c>
      <c r="T6" s="28">
        <f>(D6)</f>
        <v>0</v>
      </c>
      <c r="U6" s="23">
        <f>(R6*J3)</f>
        <v>0.44084845444528292</v>
      </c>
    </row>
    <row r="7" spans="2:21">
      <c r="B7" s="1">
        <v>114.35255029</v>
      </c>
      <c r="C7" s="23">
        <f>(D7/B7)</f>
        <v>0.34892094578400679</v>
      </c>
      <c r="D7" s="23">
        <v>39.9</v>
      </c>
      <c r="E7" t="s">
        <v>15</v>
      </c>
      <c r="N7" s="1">
        <f>-B11</f>
        <v>22.5</v>
      </c>
      <c r="O7" s="23">
        <f>($S$7*[1]Params!K9)</f>
        <v>0.56225561653000355</v>
      </c>
      <c r="P7" s="23">
        <f>-D11</f>
        <v>12.305999999999999</v>
      </c>
      <c r="Q7" t="s">
        <v>12</v>
      </c>
      <c r="R7" s="35">
        <f>B7+B10</f>
        <v>91.782550289999989</v>
      </c>
      <c r="S7" s="23">
        <f>(T7/R7)</f>
        <v>0.35140976033125221</v>
      </c>
      <c r="T7" s="23">
        <f>D7+B10*0.3388</f>
        <v>32.253284000000001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25.560222019999991</v>
      </c>
      <c r="O8" s="23">
        <f>($C$7*[1]Params!K10)</f>
        <v>0.76762608072481497</v>
      </c>
      <c r="P8" s="23">
        <f>(O8*N8)</f>
        <v>19.620693051668706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14.529407340000001</v>
      </c>
      <c r="O9" s="23">
        <f>($C$7*[1]Params!K11)</f>
        <v>1.7446047289200339</v>
      </c>
      <c r="P9" s="23">
        <f>(O9*N9)</f>
        <v>25.348072753769451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67.35719477543816</v>
      </c>
    </row>
    <row r="12" spans="2:21">
      <c r="F12" t="s">
        <v>9</v>
      </c>
      <c r="G12" s="45">
        <f>(D13/B13)</f>
        <v>0.24779548399666523</v>
      </c>
    </row>
    <row r="13" spans="2:21">
      <c r="B13" s="1">
        <f>(SUM(B5:B12))</f>
        <v>72.647036700000001</v>
      </c>
      <c r="D13" s="23">
        <f>(SUM(D5:D12))</f>
        <v>18.001607620000001</v>
      </c>
      <c r="R13" s="1">
        <f>(SUM(R5:R12))</f>
        <v>95.147036699999987</v>
      </c>
      <c r="T13" s="23">
        <f>(SUM(T5:T12))</f>
        <v>30.307607620000002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2023-12-23T09:29:54Z</dcterms:modified>
</cp:coreProperties>
</file>