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7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T20" i="28"/>
  <c r="R20"/>
  <c r="N7" s="1"/>
  <c r="P7" s="1"/>
  <c r="N3"/>
  <c r="O3"/>
  <c r="O7"/>
  <c r="C35"/>
  <c r="N26" i="35" l="1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K4"/>
  <c r="J4"/>
  <c r="B13" i="31"/>
  <c r="C10"/>
  <c r="N9"/>
  <c r="C9"/>
  <c r="N8"/>
  <c r="C8"/>
  <c r="T7"/>
  <c r="S7" s="1"/>
  <c r="R7"/>
  <c r="C7"/>
  <c r="T6"/>
  <c r="S6"/>
  <c r="R6"/>
  <c r="P6"/>
  <c r="O6"/>
  <c r="N6"/>
  <c r="E6"/>
  <c r="D6"/>
  <c r="D13" s="1"/>
  <c r="T5"/>
  <c r="T17" s="1"/>
  <c r="R5"/>
  <c r="R17" s="1"/>
  <c r="C5"/>
  <c r="O9" s="1"/>
  <c r="P9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 s="1"/>
  <c r="N8"/>
  <c r="N7"/>
  <c r="N6"/>
  <c r="Q6" s="1"/>
  <c r="E6"/>
  <c r="D6"/>
  <c r="D13" s="1"/>
  <c r="G12" s="1"/>
  <c r="C5"/>
  <c r="O9" s="1"/>
  <c r="P9" s="1"/>
  <c r="J4"/>
  <c r="K4" s="1"/>
  <c r="B34" i="28"/>
  <c r="C34" s="1"/>
  <c r="D33"/>
  <c r="C33"/>
  <c r="C32"/>
  <c r="C31"/>
  <c r="C30"/>
  <c r="D29"/>
  <c r="C29" s="1"/>
  <c r="B28"/>
  <c r="C28" s="1"/>
  <c r="C27"/>
  <c r="B26"/>
  <c r="C26" s="1"/>
  <c r="C25"/>
  <c r="C24"/>
  <c r="N23"/>
  <c r="C23"/>
  <c r="C22"/>
  <c r="O23" s="1"/>
  <c r="T21"/>
  <c r="R21"/>
  <c r="C21"/>
  <c r="C20"/>
  <c r="T19"/>
  <c r="R19"/>
  <c r="C19"/>
  <c r="T18"/>
  <c r="R18"/>
  <c r="E18"/>
  <c r="T17"/>
  <c r="R17"/>
  <c r="C17"/>
  <c r="T16"/>
  <c r="S16" s="1"/>
  <c r="R16"/>
  <c r="C16"/>
  <c r="T15"/>
  <c r="S15"/>
  <c r="O25" s="1"/>
  <c r="R15"/>
  <c r="N26" s="1"/>
  <c r="B15"/>
  <c r="E15" s="1"/>
  <c r="T14"/>
  <c r="S14"/>
  <c r="R14"/>
  <c r="O14"/>
  <c r="N14"/>
  <c r="P14" s="1"/>
  <c r="B14"/>
  <c r="E14" s="1"/>
  <c r="T13"/>
  <c r="S13"/>
  <c r="O16" s="1"/>
  <c r="R13"/>
  <c r="N17" s="1"/>
  <c r="D13"/>
  <c r="B13"/>
  <c r="T12"/>
  <c r="S12" s="1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B8"/>
  <c r="C8" s="1"/>
  <c r="T7"/>
  <c r="R7"/>
  <c r="C7"/>
  <c r="T6"/>
  <c r="R6"/>
  <c r="O6"/>
  <c r="P6" s="1"/>
  <c r="N6"/>
  <c r="C6"/>
  <c r="B6"/>
  <c r="S5"/>
  <c r="B5"/>
  <c r="B37" s="1"/>
  <c r="J4" s="1"/>
  <c r="B13" i="27"/>
  <c r="N9"/>
  <c r="N8"/>
  <c r="N7"/>
  <c r="N6"/>
  <c r="E6"/>
  <c r="D6"/>
  <c r="D13" s="1"/>
  <c r="G12" s="1"/>
  <c r="C5"/>
  <c r="O9" s="1"/>
  <c r="P9" s="1"/>
  <c r="J4"/>
  <c r="K4" s="1"/>
  <c r="B19" i="26"/>
  <c r="C17"/>
  <c r="C16"/>
  <c r="C15"/>
  <c r="C14"/>
  <c r="C13"/>
  <c r="C12"/>
  <c r="C11"/>
  <c r="C10"/>
  <c r="R9"/>
  <c r="N9" s="1"/>
  <c r="D9"/>
  <c r="T9" s="1"/>
  <c r="V9" s="1"/>
  <c r="T8"/>
  <c r="R8"/>
  <c r="N17" s="1"/>
  <c r="C8"/>
  <c r="T7"/>
  <c r="R7"/>
  <c r="E7"/>
  <c r="U6"/>
  <c r="T6"/>
  <c r="S6" s="1"/>
  <c r="R6"/>
  <c r="N6"/>
  <c r="C6"/>
  <c r="O17" s="1"/>
  <c r="T5"/>
  <c r="T22" s="1"/>
  <c r="S5"/>
  <c r="R5"/>
  <c r="R22" s="1"/>
  <c r="C5"/>
  <c r="O9" s="1"/>
  <c r="P9" s="1"/>
  <c r="J4"/>
  <c r="B10" i="25"/>
  <c r="N9"/>
  <c r="N8"/>
  <c r="O7"/>
  <c r="P7" s="1"/>
  <c r="N7"/>
  <c r="E7"/>
  <c r="D7"/>
  <c r="N6"/>
  <c r="E6"/>
  <c r="D6"/>
  <c r="D10" s="1"/>
  <c r="C5"/>
  <c r="O9" s="1"/>
  <c r="P9" s="1"/>
  <c r="J4"/>
  <c r="B15" i="24"/>
  <c r="B16" s="1"/>
  <c r="C14"/>
  <c r="C13"/>
  <c r="C12"/>
  <c r="C11"/>
  <c r="R10"/>
  <c r="N17" s="1"/>
  <c r="C10"/>
  <c r="C9"/>
  <c r="T8"/>
  <c r="R8"/>
  <c r="C8"/>
  <c r="S8" s="1"/>
  <c r="T7"/>
  <c r="S7"/>
  <c r="O7" s="1"/>
  <c r="R7"/>
  <c r="C7"/>
  <c r="O9" s="1"/>
  <c r="R6"/>
  <c r="U6" s="1"/>
  <c r="O6"/>
  <c r="E6"/>
  <c r="D6"/>
  <c r="T5"/>
  <c r="R5"/>
  <c r="C5"/>
  <c r="O15" s="1"/>
  <c r="C35" i="23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N9"/>
  <c r="C9"/>
  <c r="B9"/>
  <c r="B37" s="1"/>
  <c r="J4" s="1"/>
  <c r="S8"/>
  <c r="R8"/>
  <c r="C8"/>
  <c r="R7"/>
  <c r="T7" s="1"/>
  <c r="D7"/>
  <c r="T6"/>
  <c r="R6"/>
  <c r="N6"/>
  <c r="O6" s="1"/>
  <c r="P6" s="1"/>
  <c r="D6"/>
  <c r="T5"/>
  <c r="R5"/>
  <c r="R37" s="1"/>
  <c r="D5"/>
  <c r="D37" s="1"/>
  <c r="G37" s="1"/>
  <c r="D15" i="22"/>
  <c r="D14"/>
  <c r="D13"/>
  <c r="D12"/>
  <c r="D11"/>
  <c r="D10"/>
  <c r="D9"/>
  <c r="D8"/>
  <c r="C7"/>
  <c r="B7"/>
  <c r="B17" s="1"/>
  <c r="J4" s="1"/>
  <c r="E6"/>
  <c r="D6"/>
  <c r="D5"/>
  <c r="D17" s="1"/>
  <c r="D15" i="2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T5"/>
  <c r="S5" s="1"/>
  <c r="R5"/>
  <c r="R21" s="1"/>
  <c r="C5"/>
  <c r="K4"/>
  <c r="J4"/>
  <c r="D10" i="20"/>
  <c r="G9" s="1"/>
  <c r="B10"/>
  <c r="N9"/>
  <c r="N8"/>
  <c r="O7"/>
  <c r="P7" s="1"/>
  <c r="N7"/>
  <c r="N6"/>
  <c r="E6"/>
  <c r="D6"/>
  <c r="C5"/>
  <c r="O9" s="1"/>
  <c r="P9" s="1"/>
  <c r="J4"/>
  <c r="B10" i="19"/>
  <c r="N7" s="1"/>
  <c r="P7" s="1"/>
  <c r="O6"/>
  <c r="E6"/>
  <c r="D6"/>
  <c r="D10" s="1"/>
  <c r="G9" s="1"/>
  <c r="C5"/>
  <c r="O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K4" s="1"/>
  <c r="B13"/>
  <c r="G12"/>
  <c r="O9"/>
  <c r="N9"/>
  <c r="P9" s="1"/>
  <c r="O8"/>
  <c r="P8" s="1"/>
  <c r="N8"/>
  <c r="O7"/>
  <c r="N7"/>
  <c r="P7" s="1"/>
  <c r="O6"/>
  <c r="P6" s="1"/>
  <c r="N6"/>
  <c r="E6"/>
  <c r="D6"/>
  <c r="J4"/>
  <c r="C10" i="16"/>
  <c r="O9"/>
  <c r="D9"/>
  <c r="D8" s="1"/>
  <c r="B9"/>
  <c r="O8"/>
  <c r="B8"/>
  <c r="B14" s="1"/>
  <c r="N7" s="1"/>
  <c r="T7"/>
  <c r="S7"/>
  <c r="R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B17" i="14"/>
  <c r="J4" s="1"/>
  <c r="C15"/>
  <c r="D14"/>
  <c r="C14"/>
  <c r="C13"/>
  <c r="C12"/>
  <c r="S9" s="1"/>
  <c r="O16" s="1"/>
  <c r="C11"/>
  <c r="T10"/>
  <c r="R10"/>
  <c r="E10"/>
  <c r="R9"/>
  <c r="N15" s="1"/>
  <c r="D9"/>
  <c r="G17" s="1"/>
  <c r="S8"/>
  <c r="R8"/>
  <c r="N9" s="1"/>
  <c r="N8"/>
  <c r="E8"/>
  <c r="S7"/>
  <c r="R7"/>
  <c r="T7" s="1"/>
  <c r="O7"/>
  <c r="P7" s="1"/>
  <c r="N7"/>
  <c r="E7"/>
  <c r="S6"/>
  <c r="R6"/>
  <c r="N6"/>
  <c r="D6"/>
  <c r="R5"/>
  <c r="N23" s="1"/>
  <c r="D5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B13"/>
  <c r="J4" s="1"/>
  <c r="C11"/>
  <c r="C10"/>
  <c r="O9"/>
  <c r="C9"/>
  <c r="U8"/>
  <c r="T8"/>
  <c r="R8"/>
  <c r="O8"/>
  <c r="C8"/>
  <c r="T7"/>
  <c r="V7" s="1"/>
  <c r="R7"/>
  <c r="N9" s="1"/>
  <c r="N7"/>
  <c r="C7"/>
  <c r="T6"/>
  <c r="S6" s="1"/>
  <c r="R6"/>
  <c r="O6"/>
  <c r="P6" s="1"/>
  <c r="N6"/>
  <c r="E6"/>
  <c r="D6"/>
  <c r="D13" s="1"/>
  <c r="T5"/>
  <c r="R5"/>
  <c r="U5" s="1"/>
  <c r="C5"/>
  <c r="O7" s="1"/>
  <c r="P7" s="1"/>
  <c r="K4"/>
  <c r="B14" i="11"/>
  <c r="N9"/>
  <c r="O8"/>
  <c r="P8" s="1"/>
  <c r="N8"/>
  <c r="N7"/>
  <c r="D7"/>
  <c r="D14" s="1"/>
  <c r="G13" s="1"/>
  <c r="N6"/>
  <c r="E6"/>
  <c r="D6"/>
  <c r="C5"/>
  <c r="J4"/>
  <c r="B14" i="10"/>
  <c r="D12"/>
  <c r="C12" s="1"/>
  <c r="C11"/>
  <c r="C10"/>
  <c r="C9"/>
  <c r="C8"/>
  <c r="T7"/>
  <c r="U7" s="1"/>
  <c r="R7"/>
  <c r="C7"/>
  <c r="T6"/>
  <c r="S6" s="1"/>
  <c r="R6"/>
  <c r="O6"/>
  <c r="E6"/>
  <c r="D6"/>
  <c r="D14" s="1"/>
  <c r="T5"/>
  <c r="T14" s="1"/>
  <c r="R5"/>
  <c r="R14" s="1"/>
  <c r="C5"/>
  <c r="O9" s="1"/>
  <c r="J4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9" s="1"/>
  <c r="P9" s="1"/>
  <c r="J4"/>
  <c r="K4" s="1"/>
  <c r="B13" i="8"/>
  <c r="N9" s="1"/>
  <c r="C9"/>
  <c r="T8"/>
  <c r="R8"/>
  <c r="N8"/>
  <c r="C8"/>
  <c r="T7"/>
  <c r="S7"/>
  <c r="O7" s="1"/>
  <c r="P7" s="1"/>
  <c r="R7"/>
  <c r="N7"/>
  <c r="C7"/>
  <c r="O9" s="1"/>
  <c r="P9" s="1"/>
  <c r="R6"/>
  <c r="U6" s="1"/>
  <c r="O6"/>
  <c r="P6" s="1"/>
  <c r="N6"/>
  <c r="E6"/>
  <c r="D6"/>
  <c r="D13" s="1"/>
  <c r="T5"/>
  <c r="R5"/>
  <c r="R13" s="1"/>
  <c r="C5"/>
  <c r="J4"/>
  <c r="C6" i="7"/>
  <c r="E6" s="1"/>
  <c r="C5"/>
  <c r="E5" s="1"/>
  <c r="E9" s="1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L38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J14" s="1"/>
  <c r="E8"/>
  <c r="E7"/>
  <c r="E6"/>
  <c r="E5"/>
  <c r="J12" s="1"/>
  <c r="O32" i="4"/>
  <c r="P32" s="1"/>
  <c r="N32"/>
  <c r="O31"/>
  <c r="P31" s="1"/>
  <c r="N31"/>
  <c r="O30"/>
  <c r="P30" s="1"/>
  <c r="N30"/>
  <c r="O29"/>
  <c r="P29" s="1"/>
  <c r="P35" s="1"/>
  <c r="N29"/>
  <c r="O23"/>
  <c r="P23" s="1"/>
  <c r="N23"/>
  <c r="O22"/>
  <c r="P22" s="1"/>
  <c r="N22"/>
  <c r="O21"/>
  <c r="P21" s="1"/>
  <c r="N21"/>
  <c r="O20"/>
  <c r="P20" s="1"/>
  <c r="P26" s="1"/>
  <c r="N20"/>
  <c r="O14"/>
  <c r="P14" s="1"/>
  <c r="N14"/>
  <c r="O13"/>
  <c r="P13" s="1"/>
  <c r="N13"/>
  <c r="O12"/>
  <c r="P12" s="1"/>
  <c r="N12"/>
  <c r="O11"/>
  <c r="P11" s="1"/>
  <c r="P17" s="1"/>
  <c r="N11"/>
  <c r="B9"/>
  <c r="D7"/>
  <c r="N6"/>
  <c r="O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232" s="1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8" s="1"/>
  <c r="O68" s="1"/>
  <c r="T24"/>
  <c r="S24"/>
  <c r="N75" s="1"/>
  <c r="O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8" s="1"/>
  <c r="N20"/>
  <c r="C20"/>
  <c r="C19"/>
  <c r="D19" s="1"/>
  <c r="O18"/>
  <c r="N18"/>
  <c r="P18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P8" i="28" l="1"/>
  <c r="O9" i="2"/>
  <c r="O14" s="1"/>
  <c r="N4"/>
  <c r="H36" i="5"/>
  <c r="H37"/>
  <c r="K4" i="10"/>
  <c r="G13"/>
  <c r="C8" i="16"/>
  <c r="T8"/>
  <c r="D14"/>
  <c r="G13" s="1"/>
  <c r="I36" i="5"/>
  <c r="K36" s="1"/>
  <c r="I37"/>
  <c r="K37" s="1"/>
  <c r="O37" i="1"/>
  <c r="P37" s="1"/>
  <c r="O36"/>
  <c r="O35"/>
  <c r="O34"/>
  <c r="O29"/>
  <c r="O28"/>
  <c r="P28" s="1"/>
  <c r="O27"/>
  <c r="O26"/>
  <c r="L39" i="5"/>
  <c r="M38"/>
  <c r="K4" i="8"/>
  <c r="G12"/>
  <c r="G9" i="18"/>
  <c r="K4"/>
  <c r="T10" i="1"/>
  <c r="S10" s="1"/>
  <c r="O22" i="2"/>
  <c r="O46"/>
  <c r="K4" i="4"/>
  <c r="O9" i="11"/>
  <c r="P9" s="1"/>
  <c r="O7"/>
  <c r="P7" s="1"/>
  <c r="O16" i="12"/>
  <c r="P16" s="1"/>
  <c r="O14"/>
  <c r="P14" s="1"/>
  <c r="O8" i="14"/>
  <c r="P8" s="1"/>
  <c r="O6"/>
  <c r="P6" s="1"/>
  <c r="G9" i="25"/>
  <c r="K4"/>
  <c r="P23" i="28"/>
  <c r="P6" i="32"/>
  <c r="N29" i="1"/>
  <c r="B39"/>
  <c r="N34" i="2"/>
  <c r="O34" s="1"/>
  <c r="O38" s="1"/>
  <c r="N51"/>
  <c r="O51" s="1"/>
  <c r="N67"/>
  <c r="O67" s="1"/>
  <c r="N74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6" i="4"/>
  <c r="G8"/>
  <c r="M37" i="5"/>
  <c r="S5" i="8"/>
  <c r="T6"/>
  <c r="T13" s="1"/>
  <c r="O6" i="9"/>
  <c r="P6" s="1"/>
  <c r="N6" i="10"/>
  <c r="P6" s="1"/>
  <c r="O7"/>
  <c r="N8"/>
  <c r="N9"/>
  <c r="P9" s="1"/>
  <c r="O6" i="11"/>
  <c r="P6" s="1"/>
  <c r="P12" s="1"/>
  <c r="T13" i="12"/>
  <c r="G12"/>
  <c r="S8"/>
  <c r="R13"/>
  <c r="O15"/>
  <c r="P15" s="1"/>
  <c r="O17"/>
  <c r="P17" s="1"/>
  <c r="S5" i="13"/>
  <c r="T15"/>
  <c r="D17" i="14"/>
  <c r="K4" s="1"/>
  <c r="T5"/>
  <c r="T6"/>
  <c r="O9"/>
  <c r="P9" s="1"/>
  <c r="T9"/>
  <c r="S6" i="16"/>
  <c r="R8"/>
  <c r="P11" i="17"/>
  <c r="O8" i="19"/>
  <c r="O9"/>
  <c r="K4" i="20"/>
  <c r="E7" i="11"/>
  <c r="K4"/>
  <c r="N24" i="14"/>
  <c r="N22"/>
  <c r="N17"/>
  <c r="N16"/>
  <c r="P16" s="1"/>
  <c r="O15"/>
  <c r="P15" s="1"/>
  <c r="O14"/>
  <c r="O9" i="15"/>
  <c r="P9" s="1"/>
  <c r="O7"/>
  <c r="P7" s="1"/>
  <c r="N9" i="16"/>
  <c r="P9" s="1"/>
  <c r="N8"/>
  <c r="N6"/>
  <c r="J4"/>
  <c r="K4" s="1"/>
  <c r="N9" i="19"/>
  <c r="N8"/>
  <c r="N6"/>
  <c r="R9" i="24"/>
  <c r="D16"/>
  <c r="T9" s="1"/>
  <c r="G12" i="31"/>
  <c r="K4"/>
  <c r="N26" i="1"/>
  <c r="N27"/>
  <c r="O3"/>
  <c r="T5"/>
  <c r="N6"/>
  <c r="R19"/>
  <c r="N19" s="1"/>
  <c r="T19"/>
  <c r="S19" s="1"/>
  <c r="R21"/>
  <c r="N34"/>
  <c r="N35"/>
  <c r="N36"/>
  <c r="T15" i="2"/>
  <c r="S15" s="1"/>
  <c r="N26"/>
  <c r="O26" s="1"/>
  <c r="O30" s="1"/>
  <c r="N27"/>
  <c r="O27" s="1"/>
  <c r="D30"/>
  <c r="T21" s="1"/>
  <c r="S21" s="1"/>
  <c r="B31"/>
  <c r="N35"/>
  <c r="O35" s="1"/>
  <c r="N50"/>
  <c r="O50" s="1"/>
  <c r="O54" s="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62" i="5"/>
  <c r="O8" i="8"/>
  <c r="P8" s="1"/>
  <c r="P11" s="1"/>
  <c r="T6" i="9"/>
  <c r="T17" s="1"/>
  <c r="O7"/>
  <c r="P7" s="1"/>
  <c r="O8"/>
  <c r="P8" s="1"/>
  <c r="U5" i="10"/>
  <c r="N7"/>
  <c r="O8"/>
  <c r="P8" s="1"/>
  <c r="P9" i="12"/>
  <c r="N14" i="14"/>
  <c r="O17"/>
  <c r="P17" s="1"/>
  <c r="N25"/>
  <c r="R37"/>
  <c r="O6" i="15"/>
  <c r="P6" s="1"/>
  <c r="O8"/>
  <c r="P8" s="1"/>
  <c r="R13" i="16"/>
  <c r="U5"/>
  <c r="P8"/>
  <c r="P6" i="19"/>
  <c r="T21" i="23"/>
  <c r="S21" s="1"/>
  <c r="R17" i="24"/>
  <c r="P17" i="26"/>
  <c r="N7" i="21"/>
  <c r="N9"/>
  <c r="P9" s="1"/>
  <c r="T21"/>
  <c r="O8" i="24"/>
  <c r="O14"/>
  <c r="N15"/>
  <c r="P15" s="1"/>
  <c r="O16"/>
  <c r="O17"/>
  <c r="P17" s="1"/>
  <c r="B18"/>
  <c r="J4" s="1"/>
  <c r="O6" i="26"/>
  <c r="P6" s="1"/>
  <c r="O7"/>
  <c r="O8"/>
  <c r="V8"/>
  <c r="O14"/>
  <c r="O15"/>
  <c r="O16"/>
  <c r="D19"/>
  <c r="G18" s="1"/>
  <c r="O6" i="27"/>
  <c r="P6" s="1"/>
  <c r="O8"/>
  <c r="P8" s="1"/>
  <c r="R5" i="28"/>
  <c r="O15"/>
  <c r="N16"/>
  <c r="P16" s="1"/>
  <c r="O17"/>
  <c r="P17" s="1"/>
  <c r="N24"/>
  <c r="N25"/>
  <c r="P25" s="1"/>
  <c r="O26"/>
  <c r="P26" s="1"/>
  <c r="O8" i="29"/>
  <c r="P8" s="1"/>
  <c r="O7" i="30"/>
  <c r="P7" s="1"/>
  <c r="O7" i="31"/>
  <c r="S6" i="32"/>
  <c r="O7"/>
  <c r="P7" s="1"/>
  <c r="O9"/>
  <c r="P9" s="1"/>
  <c r="O7" i="33"/>
  <c r="P7" s="1"/>
  <c r="O6" i="34"/>
  <c r="P6" s="1"/>
  <c r="O8"/>
  <c r="P8" s="1"/>
  <c r="O9"/>
  <c r="P9" s="1"/>
  <c r="N8" i="12"/>
  <c r="P8" s="1"/>
  <c r="P11" s="1"/>
  <c r="O7" i="13"/>
  <c r="P7" s="1"/>
  <c r="P12" s="1"/>
  <c r="O8"/>
  <c r="P8" s="1"/>
  <c r="T8" i="14"/>
  <c r="O6" i="18"/>
  <c r="P6" s="1"/>
  <c r="P11" s="1"/>
  <c r="O8"/>
  <c r="P8" s="1"/>
  <c r="O6" i="20"/>
  <c r="P6" s="1"/>
  <c r="P11" s="1"/>
  <c r="O8"/>
  <c r="P8" s="1"/>
  <c r="O3" i="21"/>
  <c r="P3" s="1"/>
  <c r="N6"/>
  <c r="N3" s="1"/>
  <c r="O7"/>
  <c r="P7" s="1"/>
  <c r="N8"/>
  <c r="P8" s="1"/>
  <c r="S5" i="24"/>
  <c r="T6"/>
  <c r="T17" s="1"/>
  <c r="N14"/>
  <c r="D15"/>
  <c r="T10" s="1"/>
  <c r="N16"/>
  <c r="O6" i="25"/>
  <c r="P6" s="1"/>
  <c r="O8"/>
  <c r="P8" s="1"/>
  <c r="N7" i="26"/>
  <c r="N8"/>
  <c r="C9"/>
  <c r="N14"/>
  <c r="N15"/>
  <c r="N16"/>
  <c r="O7" i="27"/>
  <c r="P7" s="1"/>
  <c r="D5" i="28"/>
  <c r="D37" s="1"/>
  <c r="G37" s="1"/>
  <c r="N9"/>
  <c r="P9" s="1"/>
  <c r="P11" s="1"/>
  <c r="N15"/>
  <c r="O24"/>
  <c r="P24" s="1"/>
  <c r="O6" i="29"/>
  <c r="P6" s="1"/>
  <c r="O7"/>
  <c r="P7" s="1"/>
  <c r="O6" i="30"/>
  <c r="P6" s="1"/>
  <c r="O8"/>
  <c r="P8" s="1"/>
  <c r="S5" i="31"/>
  <c r="O8"/>
  <c r="P8" s="1"/>
  <c r="S5" i="32"/>
  <c r="T5" s="1"/>
  <c r="T35" s="1"/>
  <c r="W35" s="1"/>
  <c r="O6" i="33"/>
  <c r="P6" s="1"/>
  <c r="P11" s="1"/>
  <c r="O8"/>
  <c r="P8" s="1"/>
  <c r="P7" i="31" l="1"/>
  <c r="P11" s="1"/>
  <c r="O3"/>
  <c r="N3"/>
  <c r="R22" i="2"/>
  <c r="M57"/>
  <c r="O57" s="1"/>
  <c r="D31"/>
  <c r="T22"/>
  <c r="T20"/>
  <c r="R20"/>
  <c r="O7" i="16"/>
  <c r="P7" s="1"/>
  <c r="O6"/>
  <c r="P6" s="1"/>
  <c r="P12" s="1"/>
  <c r="T37" i="14"/>
  <c r="S5"/>
  <c r="D39" i="1"/>
  <c r="D42" s="1"/>
  <c r="T22"/>
  <c r="T18"/>
  <c r="R18"/>
  <c r="N10"/>
  <c r="P10" s="1"/>
  <c r="R22"/>
  <c r="P11" i="30"/>
  <c r="P11" i="29"/>
  <c r="P11" i="25"/>
  <c r="P11" i="34"/>
  <c r="P15" i="28"/>
  <c r="P19" s="1"/>
  <c r="P15" i="26"/>
  <c r="P7"/>
  <c r="P16" i="24"/>
  <c r="P14"/>
  <c r="P20" s="1"/>
  <c r="T37" i="23"/>
  <c r="P6" i="21"/>
  <c r="P11" s="1"/>
  <c r="P11" i="15"/>
  <c r="T32" i="1"/>
  <c r="K4" i="26"/>
  <c r="P8" i="19"/>
  <c r="P7" i="10"/>
  <c r="P11" s="1"/>
  <c r="P12" i="9"/>
  <c r="O74" i="2"/>
  <c r="O78" s="1"/>
  <c r="N3" i="32"/>
  <c r="O3"/>
  <c r="P28" i="28"/>
  <c r="P26" i="1"/>
  <c r="P34"/>
  <c r="P36"/>
  <c r="T36" i="2"/>
  <c r="B42" i="1"/>
  <c r="R39" i="28"/>
  <c r="T5"/>
  <c r="T39" s="1"/>
  <c r="O21" i="1"/>
  <c r="P21" s="1"/>
  <c r="O19"/>
  <c r="P19" s="1"/>
  <c r="P23" s="1"/>
  <c r="O20"/>
  <c r="P20" s="1"/>
  <c r="P6"/>
  <c r="O6"/>
  <c r="N3" s="1"/>
  <c r="N8" i="24"/>
  <c r="P8" s="1"/>
  <c r="N6"/>
  <c r="P6" s="1"/>
  <c r="N9"/>
  <c r="P9" s="1"/>
  <c r="N7"/>
  <c r="P7" s="1"/>
  <c r="L41" i="5"/>
  <c r="M41" s="1"/>
  <c r="M46" s="1"/>
  <c r="M39"/>
  <c r="K14" s="1"/>
  <c r="S8" i="16"/>
  <c r="T13"/>
  <c r="H41" i="5"/>
  <c r="I41" s="1"/>
  <c r="K41" s="1"/>
  <c r="H38"/>
  <c r="O4" i="2"/>
  <c r="M4"/>
  <c r="P11" i="27"/>
  <c r="P16" i="26"/>
  <c r="P14"/>
  <c r="P19" s="1"/>
  <c r="P8"/>
  <c r="P11"/>
  <c r="D18" i="24"/>
  <c r="G17" s="1"/>
  <c r="P3" i="1"/>
  <c r="P14" i="14"/>
  <c r="P19" s="1"/>
  <c r="K4" i="28"/>
  <c r="P9" i="19"/>
  <c r="P11" s="1"/>
  <c r="P11" i="32"/>
  <c r="P3" i="28"/>
  <c r="P11" i="14"/>
  <c r="P19" i="12"/>
  <c r="P27" i="1"/>
  <c r="P29"/>
  <c r="P35"/>
  <c r="B37" i="2"/>
  <c r="D37"/>
  <c r="G36" s="1"/>
  <c r="W39" i="28" l="1"/>
  <c r="J4" i="2"/>
  <c r="K4" s="1"/>
  <c r="J7"/>
  <c r="J8" s="1"/>
  <c r="H39" i="5"/>
  <c r="I39" s="1"/>
  <c r="K39" s="1"/>
  <c r="I38"/>
  <c r="K38" s="1"/>
  <c r="J13" s="1"/>
  <c r="N11" i="1"/>
  <c r="R32"/>
  <c r="O25" i="14"/>
  <c r="P25" s="1"/>
  <c r="O23"/>
  <c r="P23" s="1"/>
  <c r="O22"/>
  <c r="P22" s="1"/>
  <c r="O24"/>
  <c r="P24" s="1"/>
  <c r="M58" i="2"/>
  <c r="R36"/>
  <c r="P11" i="24"/>
  <c r="P31" i="1"/>
  <c r="P3" i="32"/>
  <c r="K4" i="24"/>
  <c r="J12" i="1"/>
  <c r="J13" s="1"/>
  <c r="J4"/>
  <c r="K4" s="1"/>
  <c r="G7"/>
  <c r="I42"/>
  <c r="P39"/>
  <c r="S18"/>
  <c r="S20" i="2"/>
  <c r="P3" i="31"/>
  <c r="O12" i="1" l="1"/>
  <c r="P12" s="1"/>
  <c r="O11"/>
  <c r="P11" s="1"/>
  <c r="O13"/>
  <c r="P13" s="1"/>
  <c r="N59" i="2"/>
  <c r="O59" s="1"/>
  <c r="N60"/>
  <c r="O60" s="1"/>
  <c r="N58"/>
  <c r="O58" s="1"/>
  <c r="O62" s="1"/>
  <c r="P27" i="14"/>
  <c r="O46" i="5"/>
  <c r="P46" s="1"/>
  <c r="J15"/>
  <c r="J16" s="1"/>
  <c r="P15" i="1" l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<sst xmlns="http://schemas.openxmlformats.org/spreadsheetml/2006/main" count="697" uniqueCount="88">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</sst>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2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80287232"/>
        <c:axId val="80289152"/>
      </c:lineChart>
      <c:dateAx>
        <c:axId val="80287232"/>
        <c:scaling>
          <c:orientation val="minMax"/>
        </c:scaling>
        <c:axPos val="b"/>
        <c:numFmt formatCode="dd/mm/yy;@" sourceLinked="1"/>
        <c:majorTickMark val="none"/>
        <c:tickLblPos val="nextTo"/>
        <c:crossAx val="80289152"/>
        <c:crosses val="autoZero"/>
        <c:lblOffset val="100"/>
      </c:dateAx>
      <c:valAx>
        <c:axId val="80289152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02872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1624.292317216283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835.13931579219161</v>
      </c>
      <c r="K4" s="4">
        <f>(J4/D42-1)</f>
        <v>-0.4131956532457286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2768.030479325108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5.0886400000000002E-3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5.0886400000000002E-3</v>
      </c>
      <c r="C12" s="40">
        <v>0</v>
      </c>
      <c r="D12" s="26">
        <f t="shared" si="0"/>
        <v>0</v>
      </c>
      <c r="E12" s="38">
        <f>(B12*J3)</f>
        <v>8.2654388570794666</v>
      </c>
      <c r="I12" t="s">
        <v>13</v>
      </c>
      <c r="J12">
        <f>(J11-B42)</f>
        <v>8.5844200000000037E-2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139.43607453757809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0.51415580000000005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0.51415579999999994</v>
      </c>
      <c r="D42" s="23">
        <f>(SUM(D5:D41))</f>
        <v>1423.1989255217843</v>
      </c>
      <c r="H42" t="s">
        <v>9</v>
      </c>
      <c r="I42" s="39">
        <f>D42/B42</f>
        <v>2768.030479325108</v>
      </c>
    </row>
  </sheetData>
  <conditionalFormatting sqref="C5:C7 C11 C18:C24">
    <cfRule type="cellIs" dxfId="321" priority="37" operator="lessThan">
      <formula>$J$3</formula>
    </cfRule>
    <cfRule type="cellIs" dxfId="320" priority="38" operator="greaterThan">
      <formula>$J$3</formula>
    </cfRule>
  </conditionalFormatting>
  <conditionalFormatting sqref="C25">
    <cfRule type="cellIs" dxfId="319" priority="35" operator="lessThan">
      <formula>$J$3</formula>
    </cfRule>
    <cfRule type="cellIs" dxfId="318" priority="36" operator="greaterThan">
      <formula>$J$3</formula>
    </cfRule>
  </conditionalFormatting>
  <conditionalFormatting sqref="C27">
    <cfRule type="cellIs" dxfId="317" priority="33" operator="lessThan">
      <formula>$J$3</formula>
    </cfRule>
    <cfRule type="cellIs" dxfId="316" priority="34" operator="greaterThan">
      <formula>$J$3</formula>
    </cfRule>
  </conditionalFormatting>
  <conditionalFormatting sqref="C29">
    <cfRule type="cellIs" dxfId="315" priority="31" operator="lessThan">
      <formula>$J$3</formula>
    </cfRule>
    <cfRule type="cellIs" dxfId="314" priority="32" operator="greaterThan">
      <formula>$J$3</formula>
    </cfRule>
  </conditionalFormatting>
  <conditionalFormatting sqref="C31">
    <cfRule type="cellIs" dxfId="313" priority="29" operator="lessThan">
      <formula>$J$3</formula>
    </cfRule>
    <cfRule type="cellIs" dxfId="312" priority="30" operator="greaterThan">
      <formula>$J$3</formula>
    </cfRule>
  </conditionalFormatting>
  <conditionalFormatting sqref="C33">
    <cfRule type="cellIs" dxfId="311" priority="27" operator="lessThan">
      <formula>$J$3</formula>
    </cfRule>
    <cfRule type="cellIs" dxfId="310" priority="28" operator="greaterThan">
      <formula>$J$3</formula>
    </cfRule>
  </conditionalFormatting>
  <conditionalFormatting sqref="C35:C37">
    <cfRule type="cellIs" dxfId="309" priority="25" operator="lessThan">
      <formula>$J$3</formula>
    </cfRule>
    <cfRule type="cellIs" dxfId="308" priority="26" operator="greaterThan">
      <formula>$J$3</formula>
    </cfRule>
  </conditionalFormatting>
  <conditionalFormatting sqref="C40">
    <cfRule type="cellIs" dxfId="307" priority="23" operator="lessThan">
      <formula>$J$3</formula>
    </cfRule>
    <cfRule type="cellIs" dxfId="306" priority="24" operator="greaterThan">
      <formula>$J$3</formula>
    </cfRule>
  </conditionalFormatting>
  <conditionalFormatting sqref="I42">
    <cfRule type="cellIs" dxfId="305" priority="21" operator="lessThan">
      <formula>$J$3</formula>
    </cfRule>
    <cfRule type="cellIs" dxfId="304" priority="22" operator="greaterThan">
      <formula>$J$3</formula>
    </cfRule>
  </conditionalFormatting>
  <conditionalFormatting sqref="O11:O13">
    <cfRule type="cellIs" dxfId="303" priority="19" operator="lessThan">
      <formula>$J$3</formula>
    </cfRule>
    <cfRule type="cellIs" dxfId="302" priority="20" operator="greaterThan">
      <formula>$J$3</formula>
    </cfRule>
  </conditionalFormatting>
  <conditionalFormatting sqref="O19:O21">
    <cfRule type="cellIs" dxfId="301" priority="17" operator="lessThan">
      <formula>$J$3</formula>
    </cfRule>
    <cfRule type="cellIs" dxfId="300" priority="18" operator="greaterThan">
      <formula>$J$3</formula>
    </cfRule>
  </conditionalFormatting>
  <conditionalFormatting sqref="O26:O29">
    <cfRule type="cellIs" dxfId="299" priority="15" operator="lessThan">
      <formula>$J$3</formula>
    </cfRule>
    <cfRule type="cellIs" dxfId="298" priority="16" operator="greaterThan">
      <formula>$J$3</formula>
    </cfRule>
  </conditionalFormatting>
  <conditionalFormatting sqref="O34:O37">
    <cfRule type="cellIs" dxfId="297" priority="13" operator="lessThan">
      <formula>$J$3</formula>
    </cfRule>
    <cfRule type="cellIs" dxfId="296" priority="14" operator="greaterThan">
      <formula>$J$3</formula>
    </cfRule>
  </conditionalFormatting>
  <conditionalFormatting sqref="N6">
    <cfRule type="cellIs" dxfId="295" priority="11" operator="lessThan">
      <formula>$J$3</formula>
    </cfRule>
    <cfRule type="cellIs" dxfId="294" priority="12" operator="greaterThan">
      <formula>$J$3</formula>
    </cfRule>
  </conditionalFormatting>
  <conditionalFormatting sqref="O3">
    <cfRule type="cellIs" dxfId="293" priority="9" operator="greaterThan">
      <formula>$J$3</formula>
    </cfRule>
    <cfRule type="cellIs" dxfId="292" priority="10" operator="lessThan">
      <formula>$J$3</formula>
    </cfRule>
  </conditionalFormatting>
  <conditionalFormatting sqref="S5:S7">
    <cfRule type="cellIs" dxfId="291" priority="7" operator="lessThan">
      <formula>$J$3</formula>
    </cfRule>
    <cfRule type="cellIs" dxfId="290" priority="8" operator="greaterThan">
      <formula>$J$3</formula>
    </cfRule>
  </conditionalFormatting>
  <conditionalFormatting sqref="S10:S15">
    <cfRule type="cellIs" dxfId="289" priority="5" operator="lessThan">
      <formula>$J$3</formula>
    </cfRule>
    <cfRule type="cellIs" dxfId="288" priority="6" operator="greaterThan">
      <formula>$J$3</formula>
    </cfRule>
  </conditionalFormatting>
  <conditionalFormatting sqref="S18:S20">
    <cfRule type="cellIs" dxfId="287" priority="3" operator="lessThan">
      <formula>$J$3</formula>
    </cfRule>
    <cfRule type="cellIs" dxfId="286" priority="4" operator="greaterThan">
      <formula>$J$3</formula>
    </cfRule>
  </conditionalFormatting>
  <conditionalFormatting sqref="S23">
    <cfRule type="cellIs" dxfId="285" priority="1" operator="lessThan">
      <formula>$J$3</formula>
    </cfRule>
    <cfRule type="cellIs" dxfId="284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1.2409567276850191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11.785706685446378</v>
      </c>
      <c r="K4" s="4">
        <f>(J4/D14-1)</f>
        <v>-0.65038385041372804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0.49271809999999999</v>
      </c>
      <c r="S5" s="40">
        <v>0</v>
      </c>
      <c r="T5" s="26">
        <f>(D6)</f>
        <v>0</v>
      </c>
      <c r="U5" s="38">
        <f>(R5*J3)</f>
        <v>0.61144184104718002</v>
      </c>
    </row>
    <row r="6" spans="2:21">
      <c r="B6" s="36">
        <v>0.49271809999999999</v>
      </c>
      <c r="C6" s="40">
        <v>0</v>
      </c>
      <c r="D6" s="26">
        <f>(B6*C6)</f>
        <v>0</v>
      </c>
      <c r="E6" s="38">
        <f>(B6*J3)</f>
        <v>0.61144184104718002</v>
      </c>
      <c r="M6" t="s">
        <v>11</v>
      </c>
      <c r="N6" s="29">
        <f>(SUM(R5:R7)/5)</f>
        <v>1.8994548999999998</v>
      </c>
      <c r="O6" s="38">
        <f>($C$5*Params!K8)</f>
        <v>4.9302941984076982</v>
      </c>
      <c r="P6" s="38">
        <f>(O6*N6)</f>
        <v>9.3648714736070744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1.8994548999999998</v>
      </c>
      <c r="O7" s="38">
        <f>($C$5*Params!K9)</f>
        <v>6.0680543980402435</v>
      </c>
      <c r="P7" s="38">
        <f>(O7*N7)</f>
        <v>11.52599565982409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0.27141243588825625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1.8994548999999998</v>
      </c>
      <c r="O8" s="38">
        <f>($C$5*Params!K10)</f>
        <v>8.3435747973053349</v>
      </c>
      <c r="P8" s="38">
        <f>(O8*N8)</f>
        <v>15.848244032258124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1.8994548999999998</v>
      </c>
      <c r="O9" s="38">
        <f>($C$5*Params!K11)</f>
        <v>15.170135995100608</v>
      </c>
      <c r="P9" s="38">
        <f>(O9*N9)</f>
        <v>28.814989149560223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65.554100315249514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3.5494834239022994</v>
      </c>
    </row>
    <row r="14" spans="2:21">
      <c r="B14" s="29">
        <f>(SUM(B5:B13))</f>
        <v>9.4972745000000014</v>
      </c>
      <c r="D14" s="38">
        <f>(SUM(D5:D13))</f>
        <v>33.710418410000003</v>
      </c>
      <c r="R14" s="29">
        <f>(SUM(R5:R13))</f>
        <v>9.4972744999999996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221" priority="7" operator="lessThan">
      <formula>$J$3</formula>
    </cfRule>
    <cfRule type="cellIs" dxfId="220" priority="8" operator="greaterThan">
      <formula>$J$3</formula>
    </cfRule>
  </conditionalFormatting>
  <conditionalFormatting sqref="O6:O9">
    <cfRule type="cellIs" dxfId="219" priority="5" operator="lessThan">
      <formula>$J$3</formula>
    </cfRule>
    <cfRule type="cellIs" dxfId="218" priority="6" operator="greaterThan">
      <formula>$J$3</formula>
    </cfRule>
  </conditionalFormatting>
  <conditionalFormatting sqref="S6:S7">
    <cfRule type="cellIs" dxfId="217" priority="3" operator="lessThan">
      <formula>$J$3</formula>
    </cfRule>
    <cfRule type="cellIs" dxfId="216" priority="4" operator="greaterThan">
      <formula>$J$3</formula>
    </cfRule>
  </conditionalFormatting>
  <conditionalFormatting sqref="G13">
    <cfRule type="cellIs" dxfId="215" priority="1" operator="lessThan">
      <formula>$J$3</formula>
    </cfRule>
    <cfRule type="cellIs" dxfId="21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6.7021868243011218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8.1436004082061597</v>
      </c>
      <c r="K4" s="4">
        <f>(J4/D14-1)</f>
        <v>-0.25493134417144003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0.58936396973482119</v>
      </c>
      <c r="M6" t="s">
        <v>11</v>
      </c>
      <c r="N6" s="1">
        <f>(SUM($B$5:$B$7)/5)</f>
        <v>0.24301323200000002</v>
      </c>
      <c r="O6" s="38">
        <f>($C$5*Params!K8)</f>
        <v>12.800900900900901</v>
      </c>
      <c r="P6" s="38">
        <f>(O6*N6)</f>
        <v>3.1107883004396402</v>
      </c>
    </row>
    <row r="7" spans="2:16">
      <c r="B7" s="36">
        <v>1.7130090000000001E-2</v>
      </c>
      <c r="C7" s="40">
        <v>0</v>
      </c>
      <c r="D7" s="26">
        <f>(C7*B7)</f>
        <v>0</v>
      </c>
      <c r="E7" s="38">
        <f>(B7*J4)</f>
        <v>0.13950060791660826</v>
      </c>
      <c r="N7" s="1">
        <f>(SUM($B$5:$B$7)/5)</f>
        <v>0.24301323200000002</v>
      </c>
      <c r="O7" s="38">
        <f>($C$5*Params!K9)</f>
        <v>15.754954954954954</v>
      </c>
      <c r="P7" s="38">
        <f>(O7*N7)</f>
        <v>3.8286625236180183</v>
      </c>
    </row>
    <row r="8" spans="2:16">
      <c r="N8" s="1">
        <f>(SUM($B$5:$B$7)/5)</f>
        <v>0.24301323200000002</v>
      </c>
      <c r="O8" s="38">
        <f>($C$5*Params!K10)</f>
        <v>21.663063063063063</v>
      </c>
      <c r="P8" s="38">
        <f>(O8*N8)</f>
        <v>5.264410969974775</v>
      </c>
    </row>
    <row r="9" spans="2:16">
      <c r="N9" s="1">
        <f>(SUM($B$5:$B$7)/5)</f>
        <v>0.24301323200000002</v>
      </c>
      <c r="O9" s="38">
        <f>($C$5*Params!K11)</f>
        <v>39.387387387387385</v>
      </c>
      <c r="P9" s="38">
        <f>(O9*N9)</f>
        <v>9.5716563090450446</v>
      </c>
    </row>
    <row r="12" spans="2:16">
      <c r="P12" s="38">
        <f>(SUM(P6:P9))</f>
        <v>21.775518103077481</v>
      </c>
    </row>
    <row r="13" spans="2:16">
      <c r="F13" t="s">
        <v>9</v>
      </c>
      <c r="G13" s="38">
        <f>(D14/B14)</f>
        <v>8.995394950345748</v>
      </c>
    </row>
    <row r="14" spans="2:16">
      <c r="B14" s="19">
        <f>(SUM(B5:B13))</f>
        <v>1.2150661600000001</v>
      </c>
      <c r="D14" s="38">
        <f>(SUM(D5:D13))</f>
        <v>10.93</v>
      </c>
    </row>
  </sheetData>
  <conditionalFormatting sqref="C5">
    <cfRule type="cellIs" dxfId="213" priority="5" operator="lessThan">
      <formula>$J$3</formula>
    </cfRule>
    <cfRule type="cellIs" dxfId="212" priority="6" operator="greaterThan">
      <formula>$J$3</formula>
    </cfRule>
  </conditionalFormatting>
  <conditionalFormatting sqref="O6:O9">
    <cfRule type="cellIs" dxfId="211" priority="3" operator="lessThan">
      <formula>$J$3</formula>
    </cfRule>
    <cfRule type="cellIs" dxfId="210" priority="4" operator="greaterThan">
      <formula>$J$3</formula>
    </cfRule>
  </conditionalFormatting>
  <conditionalFormatting sqref="G13">
    <cfRule type="cellIs" dxfId="209" priority="1" operator="lessThan">
      <formula>$J$3</formula>
    </cfRule>
    <cfRule type="cellIs" dxfId="20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9.5549555769751784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26.091872844272469</v>
      </c>
      <c r="K4" s="4">
        <f>(J4/D13-1)</f>
        <v>-0.38106890490174028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1.2374410000000001E-2</v>
      </c>
      <c r="S5" s="40">
        <v>0</v>
      </c>
      <c r="T5" s="26">
        <f>(D6)</f>
        <v>0</v>
      </c>
      <c r="U5" s="38">
        <f>(R5*J3)</f>
        <v>0.11823693784127742</v>
      </c>
    </row>
    <row r="6" spans="2:22">
      <c r="B6" s="25">
        <v>1.2374410000000001E-2</v>
      </c>
      <c r="C6" s="40">
        <v>0</v>
      </c>
      <c r="D6" s="26">
        <f>(B6*C6)</f>
        <v>0</v>
      </c>
      <c r="E6" s="38">
        <f>(B6*J3)</f>
        <v>0.11823693784127742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0.51225205466601309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15.437834118607759</v>
      </c>
    </row>
    <row r="13" spans="2:22">
      <c r="B13" s="24">
        <f>(SUM(B5:B12))</f>
        <v>2.7307162900000002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2.7307162900000002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207" priority="17" operator="lessThan">
      <formula>$J$3</formula>
    </cfRule>
    <cfRule type="cellIs" dxfId="206" priority="18" operator="greaterThan">
      <formula>$J$3</formula>
    </cfRule>
  </conditionalFormatting>
  <conditionalFormatting sqref="S8">
    <cfRule type="cellIs" dxfId="205" priority="11" operator="lessThan">
      <formula>$J$3</formula>
    </cfRule>
    <cfRule type="cellIs" dxfId="204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1.741704280137091E-3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1.6638261306998527</v>
      </c>
      <c r="K4" s="4">
        <f>(J4/D13-1)</f>
        <v>-0.41252417122478113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203" priority="17" operator="lessThan">
      <formula>$J$3</formula>
    </cfRule>
    <cfRule type="cellIs" dxfId="202" priority="18" operator="greaterThan">
      <formula>$J$3</formula>
    </cfRule>
  </conditionalFormatting>
  <conditionalFormatting sqref="C9:C11">
    <cfRule type="cellIs" dxfId="201" priority="15" operator="lessThan">
      <formula>$J$3</formula>
    </cfRule>
    <cfRule type="cellIs" dxfId="200" priority="16" operator="greaterThan">
      <formula>$J$3</formula>
    </cfRule>
    <cfRule type="cellIs" dxfId="199" priority="13" operator="lessThan">
      <formula>$J$3</formula>
    </cfRule>
    <cfRule type="cellIs" dxfId="198" priority="14" operator="greaterThan">
      <formula>$J$3</formula>
    </cfRule>
  </conditionalFormatting>
  <conditionalFormatting sqref="O6:O9">
    <cfRule type="cellIs" dxfId="197" priority="11" operator="lessThan">
      <formula>$J$3</formula>
    </cfRule>
    <cfRule type="cellIs" dxfId="196" priority="12" operator="greaterThan">
      <formula>$J$3</formula>
    </cfRule>
    <cfRule type="cellIs" dxfId="195" priority="9" operator="lessThan">
      <formula>$J$3</formula>
    </cfRule>
    <cfRule type="cellIs" dxfId="194" priority="10" operator="greaterThan">
      <formula>$J$3</formula>
    </cfRule>
  </conditionalFormatting>
  <conditionalFormatting sqref="S5">
    <cfRule type="cellIs" dxfId="193" priority="7" operator="lessThan">
      <formula>$J$3</formula>
    </cfRule>
    <cfRule type="cellIs" dxfId="192" priority="8" operator="greaterThan">
      <formula>$J$3</formula>
    </cfRule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G12">
    <cfRule type="cellIs" dxfId="189" priority="3" operator="lessThan">
      <formula>$J$3</formula>
    </cfRule>
    <cfRule type="cellIs" dxfId="188" priority="4" operator="greaterThan">
      <formula>$J$3</formula>
    </cfRule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213.27922641451079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126.23776667475553</v>
      </c>
      <c r="K4" s="4">
        <f>(J4/D17-1)</f>
        <v>-0.26465623975032837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5.0120618207410032E-2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1.8271400000000001E-3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2.0257260924850234E-2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1.49716E-3</v>
      </c>
      <c r="C10" s="40">
        <v>0</v>
      </c>
      <c r="D10" s="26">
        <v>0</v>
      </c>
      <c r="E10" s="38">
        <f>(B10*J3)</f>
        <v>0.31931312661874894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0.59188964999999993</v>
      </c>
      <c r="D17" s="38">
        <f>(SUM(D5:D16))</f>
        <v>171.67177243999998</v>
      </c>
      <c r="F17" t="s">
        <v>9</v>
      </c>
      <c r="G17" s="38">
        <f>(SUM(D5:D16)/SUM(B5:B16))</f>
        <v>290.04016616948786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8.2897600000000004E-4</v>
      </c>
      <c r="O22" s="38">
        <f>($S$5*Params!K8)</f>
        <v>323.96134165178148</v>
      </c>
      <c r="P22" s="38">
        <f>(O22*N22)</f>
        <v>0.26855617715712721</v>
      </c>
    </row>
    <row r="23" spans="2:16">
      <c r="N23" s="24">
        <f>(($R$5+$R$7)/5)</f>
        <v>8.2897600000000004E-4</v>
      </c>
      <c r="O23" s="38">
        <f>($S$5*Params!K9)</f>
        <v>398.72165126373102</v>
      </c>
      <c r="P23" s="38">
        <f>(O23*N23)</f>
        <v>0.3305306795780027</v>
      </c>
    </row>
    <row r="24" spans="2:16">
      <c r="N24" s="24">
        <f>(($R$5+$R$7)/5)</f>
        <v>8.2897600000000004E-4</v>
      </c>
      <c r="O24" s="38">
        <f>($S$5*Params!K10)</f>
        <v>548.24227048763021</v>
      </c>
      <c r="P24" s="38">
        <f>(O24*N24)</f>
        <v>0.45447968441975378</v>
      </c>
    </row>
    <row r="25" spans="2:16">
      <c r="N25" s="24">
        <f>(($R$5+$R$7)/5)</f>
        <v>8.2897600000000004E-4</v>
      </c>
      <c r="O25" s="38">
        <f>($S$5*Params!K11)</f>
        <v>996.80412815932755</v>
      </c>
      <c r="P25" s="38">
        <f>(O25*N25)</f>
        <v>0.82632669894500677</v>
      </c>
    </row>
    <row r="26" spans="2:16">
      <c r="P26" s="38"/>
    </row>
    <row r="27" spans="2:16">
      <c r="P27" s="38">
        <f>(SUM(P22:P25))</f>
        <v>1.8798932400998907</v>
      </c>
    </row>
    <row r="37" spans="18:20">
      <c r="R37" s="51">
        <f>(SUM(R5:R27))</f>
        <v>0.59188965000000004</v>
      </c>
      <c r="T37" s="38">
        <f>(SUM(T5:T27))</f>
        <v>171.67177243999998</v>
      </c>
    </row>
  </sheetData>
  <conditionalFormatting sqref="C5:C6 C9 C11:C14 O6:O9 O14 S5:S6 S8:S9">
    <cfRule type="cellIs" dxfId="185" priority="9" operator="lessThan">
      <formula>$J$3</formula>
    </cfRule>
    <cfRule type="cellIs" dxfId="184" priority="10" operator="greaterThan">
      <formula>$J$3</formula>
    </cfRule>
  </conditionalFormatting>
  <conditionalFormatting sqref="O15:O17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22:O25">
    <cfRule type="cellIs" dxfId="181" priority="3" operator="lessThan">
      <formula>$J$3</formula>
    </cfRule>
    <cfRule type="cellIs" dxfId="180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6.1471755183641771E-2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3.7720621388387996</v>
      </c>
      <c r="K4" s="4">
        <f>(J4/D13-1)</f>
        <v>-0.24558757223224004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0.24340701000000001</v>
      </c>
      <c r="C6" s="40">
        <v>0</v>
      </c>
      <c r="D6" s="26">
        <f>(B6*C6)</f>
        <v>0</v>
      </c>
      <c r="E6" s="38">
        <f>(B6*J3)</f>
        <v>1.4962656128702245E-2</v>
      </c>
      <c r="M6" t="s">
        <v>11</v>
      </c>
      <c r="N6" s="29">
        <f>($B$13/5)</f>
        <v>12.272505079999998</v>
      </c>
      <c r="O6" s="38">
        <f>($C$5*Params!K8)</f>
        <v>0.10634970155367125</v>
      </c>
      <c r="P6" s="38">
        <f>(O6*N6)</f>
        <v>1.3051772525739143</v>
      </c>
    </row>
    <row r="7" spans="2:16">
      <c r="N7" s="29">
        <f>($B$13/5)</f>
        <v>12.272505079999998</v>
      </c>
      <c r="O7" s="38">
        <f>($C$5*Params!K9)</f>
        <v>0.13089194037374924</v>
      </c>
      <c r="P7" s="38">
        <f>(O7*N7)</f>
        <v>1.6063720031678945</v>
      </c>
    </row>
    <row r="8" spans="2:16">
      <c r="N8" s="29">
        <f>($B$13/5)</f>
        <v>12.272505079999998</v>
      </c>
      <c r="O8" s="38">
        <f>($C$5*Params!K10)</f>
        <v>0.17997641801390521</v>
      </c>
      <c r="P8" s="38">
        <f>(O8*N8)</f>
        <v>2.2087615043558548</v>
      </c>
    </row>
    <row r="9" spans="2:16">
      <c r="N9" s="29">
        <f>($B$13/5)</f>
        <v>12.272505079999998</v>
      </c>
      <c r="O9" s="38">
        <f>($C$5*Params!K11)</f>
        <v>0.32722985093437307</v>
      </c>
      <c r="P9" s="38">
        <f>(O9*N9)</f>
        <v>4.015930007919736</v>
      </c>
    </row>
    <row r="11" spans="2:16">
      <c r="P11" s="38">
        <f>(SUM(P6:P9))</f>
        <v>9.1362407680173998</v>
      </c>
    </row>
    <row r="12" spans="2:16">
      <c r="F12" t="s">
        <v>9</v>
      </c>
      <c r="G12" s="38">
        <f>(D13/B13)</f>
        <v>8.1482956697215725E-2</v>
      </c>
    </row>
    <row r="13" spans="2:16">
      <c r="B13" s="29">
        <f>(SUM(B5:B12))</f>
        <v>61.362525399999996</v>
      </c>
      <c r="D13" s="38">
        <f>(SUM(D5:D12))</f>
        <v>5</v>
      </c>
    </row>
  </sheetData>
  <conditionalFormatting sqref="O6:O9">
    <cfRule type="cellIs" dxfId="179" priority="5" operator="lessThan">
      <formula>$J$3</formula>
    </cfRule>
    <cfRule type="cellIs" dxfId="178" priority="6" operator="greaterThan">
      <formula>$J$3</formula>
    </cfRule>
  </conditionalFormatting>
  <conditionalFormatting sqref="C5">
    <cfRule type="cellIs" dxfId="177" priority="3" operator="lessThan">
      <formula>$J$3</formula>
    </cfRule>
    <cfRule type="cellIs" dxfId="176" priority="4" operator="greaterThan">
      <formula>$J$3</formula>
    </cfRule>
  </conditionalFormatting>
  <conditionalFormatting sqref="G12">
    <cfRule type="cellIs" dxfId="175" priority="1" operator="lessThan">
      <formula>$J$3</formula>
    </cfRule>
    <cfRule type="cellIs" dxfId="17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4.1707811584959549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25.168672201318358</v>
      </c>
      <c r="K4" s="4">
        <f>(J4/D14-1)</f>
        <v>-0.26395217186834818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0.12903108133008509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0.12903108133008509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73" priority="15" operator="lessThan">
      <formula>$J$3</formula>
    </cfRule>
    <cfRule type="cellIs" dxfId="172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23.733284934781452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2.9301747259188939</v>
      </c>
      <c r="K4" s="4">
        <f>(J4/D13-1)</f>
        <v>-0.43650486040021275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6.2062540104453501E-2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71" priority="3" operator="lessThan">
      <formula>$J$3</formula>
    </cfRule>
    <cfRule type="cellIs" dxfId="170" priority="4" operator="greaterThan">
      <formula>$J$3</formula>
    </cfRule>
  </conditionalFormatting>
  <conditionalFormatting sqref="O6:O9">
    <cfRule type="cellIs" dxfId="169" priority="1" operator="lessThan">
      <formula>$J$3</formula>
    </cfRule>
    <cfRule type="cellIs" dxfId="168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3.1071324269089722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5.3251370667169811</v>
      </c>
      <c r="K4" s="4">
        <f>(J4/D10-1)</f>
        <v>-0.37498391235716177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3.8899744418686875E-3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O6:O9">
    <cfRule type="cellIs" dxfId="165" priority="3" operator="lessThan">
      <formula>$J$3</formula>
    </cfRule>
    <cfRule type="cellIs" dxfId="164" priority="4" operator="greaterThan">
      <formula>$J$3</formula>
    </cfRule>
  </conditionalFormatting>
  <conditionalFormatting sqref="G9"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1.495787463257146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6.8284575210112584</v>
      </c>
      <c r="K4" s="4">
        <f>(J4/D10-1)</f>
        <v>-0.32856858200479266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2.2936315214337283E-2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O6:O9">
    <cfRule type="cellIs" dxfId="159" priority="3" operator="lessThan">
      <formula>$J$3</formula>
    </cfRule>
    <cfRule type="cellIs" dxfId="158" priority="4" operator="greaterThan">
      <formula>$J$3</formula>
    </cfRule>
  </conditionalFormatting>
  <conditionalFormatting sqref="G9"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A41" sqref="A41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25886.886407070109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754.71482898423642</v>
      </c>
      <c r="K4" s="4">
        <f>(J4/D37-1)</f>
        <v>9.1151286955907018E-2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3.3572000000000002E-4</v>
      </c>
      <c r="C6" s="40">
        <v>0</v>
      </c>
      <c r="D6" s="26">
        <f>(B6*C6)</f>
        <v>0</v>
      </c>
      <c r="E6" s="38">
        <f>(B6*J3)</f>
        <v>8.690745504581578</v>
      </c>
      <c r="I6" t="s">
        <v>11</v>
      </c>
      <c r="J6">
        <v>0.03</v>
      </c>
      <c r="R6" s="24">
        <f t="shared" si="0"/>
        <v>3.3572000000000002E-4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8.4566999999999282E-4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21.891763227866793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23724.378751629687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2.8425059999999999E-2</v>
      </c>
      <c r="T36" s="38">
        <f>(SUM(T5:T25))</f>
        <v>507.58980017000005</v>
      </c>
    </row>
    <row r="37" spans="2:20">
      <c r="B37">
        <f>(SUM(B5:B36))</f>
        <v>2.9154330000000006E-2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83" priority="45" operator="lessThan">
      <formula>$J$3</formula>
    </cfRule>
    <cfRule type="cellIs" dxfId="282" priority="46" operator="greaterThan">
      <formula>$J$3</formula>
    </cfRule>
  </conditionalFormatting>
  <conditionalFormatting sqref="N35:N36">
    <cfRule type="cellIs" dxfId="281" priority="19" operator="lessThan">
      <formula>$J$3</formula>
    </cfRule>
    <cfRule type="cellIs" dxfId="280" priority="20" operator="greaterThan">
      <formula>$J$3</formula>
    </cfRule>
  </conditionalFormatting>
  <conditionalFormatting sqref="N42:N44">
    <cfRule type="cellIs" dxfId="279" priority="17" operator="lessThan">
      <formula>$J$3</formula>
    </cfRule>
    <cfRule type="cellIs" dxfId="278" priority="18" operator="greaterThan">
      <formula>$J$3</formula>
    </cfRule>
  </conditionalFormatting>
  <conditionalFormatting sqref="N50:N52">
    <cfRule type="cellIs" dxfId="277" priority="15" operator="lessThan">
      <formula>$J$3</formula>
    </cfRule>
    <cfRule type="cellIs" dxfId="276" priority="16" operator="greaterThan">
      <formula>$J$3</formula>
    </cfRule>
  </conditionalFormatting>
  <conditionalFormatting sqref="N58:N60">
    <cfRule type="cellIs" dxfId="275" priority="13" operator="lessThan">
      <formula>$J$3</formula>
    </cfRule>
    <cfRule type="cellIs" dxfId="274" priority="14" operator="greaterThan">
      <formula>$J$3</formula>
    </cfRule>
  </conditionalFormatting>
  <conditionalFormatting sqref="N66:N68">
    <cfRule type="cellIs" dxfId="273" priority="11" operator="lessThan">
      <formula>$J$3</formula>
    </cfRule>
    <cfRule type="cellIs" dxfId="272" priority="12" operator="greaterThan">
      <formula>$J$3</formula>
    </cfRule>
  </conditionalFormatting>
  <conditionalFormatting sqref="N73:N76">
    <cfRule type="cellIs" dxfId="271" priority="9" operator="lessThan">
      <formula>$J$3</formula>
    </cfRule>
    <cfRule type="cellIs" dxfId="270" priority="10" operator="greaterThan">
      <formula>$J$3</formula>
    </cfRule>
  </conditionalFormatting>
  <conditionalFormatting sqref="N4">
    <cfRule type="cellIs" dxfId="269" priority="1" operator="greaterThan">
      <formula>$J$3</formula>
    </cfRule>
    <cfRule type="cellIs" dxfId="26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6.0597321340331103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7.4567674433228897</v>
      </c>
      <c r="K4" s="4">
        <f>(J4/D10-1)</f>
        <v>-0.10267539791541647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9.1969766544647315E-3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9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61.179390630430127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10.008367714721286</v>
      </c>
      <c r="K4" s="4">
        <f>(J4/D15-1)</f>
        <v>6.9916767962843185E-3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3.8721659917811839E-2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1.1705556997057449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49" priority="21" operator="lessThan">
      <formula>$J$3</formula>
    </cfRule>
    <cfRule type="cellIs" dxfId="148" priority="22" operator="greaterThan">
      <formula>$J$3</formula>
    </cfRule>
  </conditionalFormatting>
  <conditionalFormatting sqref="C9">
    <cfRule type="cellIs" dxfId="147" priority="9" operator="lessThan">
      <formula>$J$3</formula>
    </cfRule>
    <cfRule type="cellIs" dxfId="146" priority="10" operator="greaterThan">
      <formula>$J$3</formula>
    </cfRule>
  </conditionalFormatting>
  <conditionalFormatting sqref="O3">
    <cfRule type="cellIs" dxfId="145" priority="7" operator="greaterThan">
      <formula>$J$3</formula>
    </cfRule>
    <cfRule type="cellIs" dxfId="144" priority="8" operator="lessThan">
      <formula>$J$3</formula>
    </cfRule>
  </conditionalFormatting>
  <conditionalFormatting sqref="C12:C13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7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14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0.40851307546758031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1.0497687466154271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1.83430173484685E-2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5.9632193857973993E-5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20.259962846290296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0.2739502551611579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3.7026920608911995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37" priority="13" operator="lessThan">
      <formula>$J$3</formula>
    </cfRule>
    <cfRule type="cellIs" dxfId="136" priority="14" operator="greaterThan">
      <formula>$J$3</formula>
    </cfRule>
  </conditionalFormatting>
  <conditionalFormatting sqref="N6">
    <cfRule type="cellIs" dxfId="135" priority="9" operator="lessThan">
      <formula>$J$3</formula>
    </cfRule>
    <cfRule type="cellIs" dxfId="134" priority="10" operator="greaterThan">
      <formula>$J$3</formula>
    </cfRule>
  </conditionalFormatting>
  <conditionalFormatting sqref="N9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S5:S9 S13">
    <cfRule type="cellIs" dxfId="131" priority="3" operator="lessThan">
      <formula>$J$3</formula>
    </cfRule>
    <cfRule type="cellIs" dxfId="130" priority="4" operator="greaterThan">
      <formula>$J$3</formula>
    </cfRule>
  </conditionalFormatting>
  <conditionalFormatting sqref="G37">
    <cfRule type="cellIs" dxfId="129" priority="1" operator="lessThan">
      <formula>$J$3</formula>
    </cfRule>
    <cfRule type="cellIs" dxfId="128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0.52661161113916533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25.766266614075001</v>
      </c>
      <c r="K4" s="4">
        <f>(J4/D18-1)</f>
        <v>-0.41660844811831177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0.14662431290599445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0.14662431290599445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27" priority="23" operator="lessThan">
      <formula>$J$3</formula>
    </cfRule>
    <cfRule type="cellIs" dxfId="126" priority="24" operator="greaterThan">
      <formula>$J$3</formula>
    </cfRule>
  </conditionalFormatting>
  <conditionalFormatting sqref="S8">
    <cfRule type="cellIs" dxfId="125" priority="1" operator="lessThan">
      <formula>$J$3</formula>
    </cfRule>
    <cfRule type="cellIs" dxfId="124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0.37763484313081541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20.635704880971886</v>
      </c>
      <c r="K4" s="4">
        <f>(J4/D10-1)</f>
        <v>-0.47876471631796202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0.89915071401307722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0.32798636966275291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123" priority="5" operator="lessThan">
      <formula>$J$3</formula>
    </cfRule>
    <cfRule type="cellIs" dxfId="122" priority="6" operator="greaterThan">
      <formula>$J$3</formula>
    </cfRule>
  </conditionalFormatting>
  <conditionalFormatting sqref="O6:O9">
    <cfRule type="cellIs" dxfId="121" priority="3" operator="lessThan">
      <formula>$J$3</formula>
    </cfRule>
    <cfRule type="cellIs" dxfId="120" priority="4" operator="greaterThan">
      <formula>$J$3</formula>
    </cfRule>
  </conditionalFormatting>
  <conditionalFormatting sqref="G9">
    <cfRule type="cellIs" dxfId="119" priority="1" operator="lessThan">
      <formula>$J$3</formula>
    </cfRule>
    <cfRule type="cellIs" dxfId="118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1.1459852967940429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23.578305029485488</v>
      </c>
      <c r="K4" s="4">
        <f>(J4/D19-1)</f>
        <v>-0.35576771844732213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6.9556356858916257E-2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0.29046317250011311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0.30511979200852402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117" priority="17" operator="lessThan">
      <formula>$J$3</formula>
    </cfRule>
    <cfRule type="cellIs" dxfId="116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7.3645409652844911E-6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3.2385424549835626</v>
      </c>
      <c r="K4" s="4">
        <f>(J4/D13-1)</f>
        <v>-0.35615458151420232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1.5933920832489526E-3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115" priority="5" operator="lessThan">
      <formula>$J$3</formula>
    </cfRule>
    <cfRule type="cellIs" dxfId="114" priority="6" operator="greaterThan">
      <formula>$J$3</formula>
    </cfRule>
  </conditionalFormatting>
  <conditionalFormatting sqref="J3">
    <cfRule type="cellIs" dxfId="113" priority="3" operator="lessThan">
      <formula>$J$3</formula>
    </cfRule>
    <cfRule type="cellIs" dxfId="112" priority="4" operator="greaterThan">
      <formula>$J$3</formula>
    </cfRule>
  </conditionalFormatting>
  <conditionalFormatting sqref="O6:O9">
    <cfRule type="cellIs" dxfId="111" priority="1" operator="lessThan">
      <formula>$J$3</formula>
    </cfRule>
    <cfRule type="cellIs" dxfId="110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1"/>
  <sheetViews>
    <sheetView tabSelected="1" workbookViewId="0">
      <selection activeCell="R22" sqref="R22:T22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18.433178589429129</v>
      </c>
      <c r="M3" t="s">
        <v>4</v>
      </c>
      <c r="N3" s="24">
        <f>(INDEX(N5:N26,MATCH(MAX(O6,O23,O14),O5:O26,0))/0.9)</f>
        <v>7.9377777777777783E-2</v>
      </c>
      <c r="O3" s="39">
        <f>(MAX(O14,O23,O6)*0.85)</f>
        <v>13.838717693169091</v>
      </c>
      <c r="P3" s="38">
        <f>(O3*N3)</f>
        <v>1.0984866577777777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(B37*J3)</f>
        <v>147.39870265502211</v>
      </c>
      <c r="K4" s="4">
        <f>(J4/D37-1)</f>
        <v>-0.26371938759317204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f>($C$16*Params!K9)</f>
        <v>20.54920188367684</v>
      </c>
      <c r="P7" s="38">
        <f>(O7*N7)</f>
        <v>2.2368491360773044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($C$16*Params!K10)</f>
        <v>28.255152590055655</v>
      </c>
      <c r="P8" s="38">
        <f>(O8*N8)</f>
        <v>3.0756675621062937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12.497244604323246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3.8709675037801171E-2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0.11356705292079543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9.7286261295718469E-3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0.63029138979371291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/>
      <c r="S22" s="39"/>
      <c r="T22" s="39"/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 s="14" customFormat="1">
      <c r="B35" s="24">
        <v>0.11518</v>
      </c>
      <c r="C35" s="38">
        <f>D35/B35</f>
        <v>18.492793887827744</v>
      </c>
      <c r="D35" s="38">
        <v>2.13</v>
      </c>
      <c r="E35" s="38"/>
      <c r="S35" s="38"/>
      <c r="T35" s="38"/>
    </row>
    <row r="36" spans="2:23">
      <c r="C36" s="38"/>
      <c r="D36" s="38"/>
      <c r="E36" s="38"/>
      <c r="S36" s="38"/>
      <c r="T36" s="38"/>
    </row>
    <row r="37" spans="2:23">
      <c r="B37" s="24">
        <f>(SUM(B5:B36))</f>
        <v>7.9963801109999988</v>
      </c>
      <c r="C37" s="38"/>
      <c r="D37" s="38">
        <f>(SUM(D5:D36))</f>
        <v>200.19364923000001</v>
      </c>
      <c r="E37" s="38"/>
      <c r="F37" t="s">
        <v>9</v>
      </c>
      <c r="G37" s="38">
        <f>(D37/B37)</f>
        <v>25.035534385691491</v>
      </c>
      <c r="S37" s="38"/>
      <c r="T37" s="38"/>
    </row>
    <row r="38" spans="2:23">
      <c r="K38">
        <v>21</v>
      </c>
      <c r="M38" s="24"/>
      <c r="S38" s="38"/>
      <c r="T38" s="38"/>
    </row>
    <row r="39" spans="2:23">
      <c r="R39" s="24">
        <f>(SUM(R5:R38))</f>
        <v>7.9963801110000006</v>
      </c>
      <c r="S39" s="38"/>
      <c r="T39" s="38">
        <f>(SUM(T5:T38))</f>
        <v>200.19128967</v>
      </c>
      <c r="V39" t="s">
        <v>9</v>
      </c>
      <c r="W39" s="38">
        <f>(T39/R39)</f>
        <v>25.035239307172549</v>
      </c>
    </row>
    <row r="41" spans="2:23">
      <c r="N41" s="24"/>
    </row>
  </sheetData>
  <conditionalFormatting sqref="C5 C8:C10 S5">
    <cfRule type="cellIs" dxfId="63" priority="95" operator="lessThan">
      <formula>$J$3</formula>
    </cfRule>
    <cfRule type="cellIs" dxfId="62" priority="96" operator="greaterThan">
      <formula>$J$3</formula>
    </cfRule>
  </conditionalFormatting>
  <conditionalFormatting sqref="C16:C17">
    <cfRule type="cellIs" dxfId="61" priority="79" operator="lessThan">
      <formula>$J$3</formula>
    </cfRule>
    <cfRule type="cellIs" dxfId="60" priority="80" operator="greaterThan">
      <formula>$J$3</formula>
    </cfRule>
    <cfRule type="cellIs" dxfId="59" priority="81" operator="lessThan">
      <formula>$J$3</formula>
    </cfRule>
    <cfRule type="cellIs" dxfId="58" priority="82" operator="greaterThan">
      <formula>$J$3</formula>
    </cfRule>
    <cfRule type="cellIs" dxfId="57" priority="89" operator="lessThan">
      <formula>$J$3</formula>
    </cfRule>
    <cfRule type="cellIs" dxfId="56" priority="90" operator="greaterThan">
      <formula>$J$3</formula>
    </cfRule>
  </conditionalFormatting>
  <conditionalFormatting sqref="C19:C20 G37">
    <cfRule type="cellIs" dxfId="55" priority="73" operator="lessThan">
      <formula>$J$3</formula>
    </cfRule>
    <cfRule type="cellIs" dxfId="54" priority="74" operator="greaterThan">
      <formula>$J$3</formula>
    </cfRule>
    <cfRule type="cellIs" dxfId="53" priority="75" operator="lessThan">
      <formula>$J$3</formula>
    </cfRule>
    <cfRule type="cellIs" dxfId="52" priority="76" operator="greaterThan">
      <formula>$J$3</formula>
    </cfRule>
    <cfRule type="cellIs" dxfId="51" priority="77" operator="lessThan">
      <formula>$J$3</formula>
    </cfRule>
    <cfRule type="cellIs" dxfId="50" priority="78" operator="greaterThan">
      <formula>$J$3</formula>
    </cfRule>
    <cfRule type="cellIs" dxfId="49" priority="87" operator="lessThan">
      <formula>$J$3</formula>
    </cfRule>
    <cfRule type="cellIs" dxfId="48" priority="88" operator="greaterThan">
      <formula>$J$3</formula>
    </cfRule>
  </conditionalFormatting>
  <conditionalFormatting sqref="C27:C28 C30:C31">
    <cfRule type="cellIs" dxfId="47" priority="65" operator="lessThan">
      <formula>$J$3</formula>
    </cfRule>
    <cfRule type="cellIs" dxfId="46" priority="66" operator="greaterThan">
      <formula>$J$3</formula>
    </cfRule>
    <cfRule type="cellIs" dxfId="45" priority="67" operator="lessThan">
      <formula>$J$3</formula>
    </cfRule>
    <cfRule type="cellIs" dxfId="44" priority="68" operator="greaterThan">
      <formula>$J$3</formula>
    </cfRule>
    <cfRule type="cellIs" dxfId="43" priority="69" operator="lessThan">
      <formula>$J$3</formula>
    </cfRule>
    <cfRule type="cellIs" dxfId="42" priority="70" operator="greaterThan">
      <formula>$J$3</formula>
    </cfRule>
    <cfRule type="cellIs" dxfId="41" priority="71" operator="lessThan">
      <formula>$J$3</formula>
    </cfRule>
    <cfRule type="cellIs" dxfId="40" priority="72" operator="greaterThan">
      <formula>$J$3</formula>
    </cfRule>
    <cfRule type="cellIs" dxfId="39" priority="85" operator="lessThan">
      <formula>$J$3</formula>
    </cfRule>
    <cfRule type="cellIs" dxfId="38" priority="86" operator="greaterThan">
      <formula>$J$3</formula>
    </cfRule>
  </conditionalFormatting>
  <conditionalFormatting sqref="O15:O17 O24:O26 S12:S13 S15:S16 O7:O9">
    <cfRule type="cellIs" dxfId="37" priority="59" operator="lessThan">
      <formula>$J$3</formula>
    </cfRule>
    <cfRule type="cellIs" dxfId="36" priority="60" operator="greaterThan">
      <formula>$J$3</formula>
    </cfRule>
    <cfRule type="cellIs" dxfId="35" priority="61" operator="lessThan">
      <formula>$J$3</formula>
    </cfRule>
    <cfRule type="cellIs" dxfId="34" priority="62" operator="greaterThan">
      <formula>$J$3</formula>
    </cfRule>
  </conditionalFormatting>
  <conditionalFormatting sqref="O3">
    <cfRule type="cellIs" dxfId="33" priority="41" operator="greaterThan">
      <formula>$J$3</formula>
    </cfRule>
    <cfRule type="cellIs" dxfId="32" priority="42" operator="lessThan">
      <formula>$J$3</formula>
    </cfRule>
  </conditionalFormatting>
  <conditionalFormatting sqref="W39">
    <cfRule type="cellIs" dxfId="31" priority="11" operator="lessThan">
      <formula>$J$3</formula>
    </cfRule>
    <cfRule type="cellIs" dxfId="30" priority="12" operator="greaterThan">
      <formula>$J$3</formula>
    </cfRule>
    <cfRule type="cellIs" dxfId="29" priority="13" operator="lessThan">
      <formula>$J$3</formula>
    </cfRule>
    <cfRule type="cellIs" dxfId="28" priority="14" operator="greaterThan">
      <formula>$J$3</formula>
    </cfRule>
    <cfRule type="cellIs" dxfId="27" priority="15" operator="lessThan">
      <formula>$J$3</formula>
    </cfRule>
    <cfRule type="cellIs" dxfId="26" priority="16" operator="greaterThan">
      <formula>$J$3</formula>
    </cfRule>
    <cfRule type="cellIs" dxfId="25" priority="17" operator="lessThan">
      <formula>$J$3</formula>
    </cfRule>
    <cfRule type="cellIs" dxfId="24" priority="18" operator="greaterThan">
      <formula>$J$3</formula>
    </cfRule>
  </conditionalFormatting>
  <conditionalFormatting sqref="C34:C35">
    <cfRule type="cellIs" dxfId="23" priority="1" operator="lessThan">
      <formula>$J$3</formula>
    </cfRule>
    <cfRule type="cellIs" dxfId="22" priority="2" operator="greaterThan">
      <formula>$J$3</formula>
    </cfRule>
    <cfRule type="cellIs" dxfId="21" priority="3" operator="lessThan">
      <formula>$J$3</formula>
    </cfRule>
    <cfRule type="cellIs" dxfId="20" priority="4" operator="greaterThan">
      <formula>$J$3</formula>
    </cfRule>
    <cfRule type="cellIs" dxfId="19" priority="5" operator="lessThan">
      <formula>$J$3</formula>
    </cfRule>
    <cfRule type="cellIs" dxfId="18" priority="6" operator="greaterThan">
      <formula>$J$3</formula>
    </cfRule>
    <cfRule type="cellIs" dxfId="17" priority="7" operator="lessThan">
      <formula>$J$3</formula>
    </cfRule>
    <cfRule type="cellIs" dxfId="16" priority="8" operator="greaterThan">
      <formula>$J$3</formula>
    </cfRule>
    <cfRule type="cellIs" dxfId="15" priority="9" operator="lessThan">
      <formula>$J$3</formula>
    </cfRule>
    <cfRule type="cellIs" dxfId="14" priority="10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7.8235101146711408E-2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0.72576922859372284</v>
      </c>
      <c r="K4" s="4">
        <f>(J4/D13-1)</f>
        <v>0.45153845718744567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1.3731359454418965E-2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0.14515384571874457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109" priority="7" operator="lessThan">
      <formula>$J$3</formula>
    </cfRule>
    <cfRule type="cellIs" dxfId="108" priority="8" operator="greaterThan">
      <formula>$J$3</formula>
    </cfRule>
  </conditionalFormatting>
  <conditionalFormatting sqref="O6:O9">
    <cfRule type="cellIs" dxfId="107" priority="5" operator="lessThan">
      <formula>$J$3</formula>
    </cfRule>
    <cfRule type="cellIs" dxfId="106" priority="6" operator="greaterThan">
      <formula>$J$3</formula>
    </cfRule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4.2271974714428104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7.135585632709823</v>
      </c>
      <c r="K4" s="4">
        <f>(J4/D10-1)</f>
        <v>-0.25203504898219875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7.7510738275869658E-3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103" priority="5" operator="lessThan">
      <formula>$J$3</formula>
    </cfRule>
    <cfRule type="cellIs" dxfId="102" priority="6" operator="greaterThan">
      <formula>$J$3</formula>
    </cfRule>
  </conditionalFormatting>
  <conditionalFormatting sqref="O6:O9">
    <cfRule type="cellIs" dxfId="101" priority="3" operator="lessThan">
      <formula>$J$3</formula>
    </cfRule>
    <cfRule type="cellIs" dxfId="100" priority="4" operator="greaterThan">
      <formula>$J$3</formula>
    </cfRule>
  </conditionalFormatting>
  <conditionalFormatting sqref="G9">
    <cfRule type="cellIs" dxfId="99" priority="1" operator="lessThan">
      <formula>$J$3</formula>
    </cfRule>
    <cfRule type="cellIs" dxfId="98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0.50008902814075851</v>
      </c>
      <c r="M3" t="s">
        <v>4</v>
      </c>
      <c r="N3" s="19">
        <f>(INDEX(N5:N13,MATCH(MAX(O6:O7),O5:O13,0))/0.9)</f>
        <v>12.111111111111111</v>
      </c>
      <c r="O3" s="37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16.941060485230526</v>
      </c>
      <c r="K4" s="4">
        <f>(J4/D13-1)</f>
        <v>2.2245464560516628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54.203479709999996</v>
      </c>
      <c r="S5" s="38">
        <f>(T5/R5)</f>
        <v>0.35237590099729788</v>
      </c>
      <c r="T5" s="38">
        <f>(SUM(D5:D7))</f>
        <v>19.100000000000001</v>
      </c>
    </row>
    <row r="6" spans="2:20">
      <c r="B6" s="20">
        <v>0.62846824000000001</v>
      </c>
      <c r="C6" s="40">
        <v>0</v>
      </c>
      <c r="D6" s="40">
        <f>(B6*C6)</f>
        <v>0</v>
      </c>
      <c r="E6" s="38">
        <f>(B6*J3)</f>
        <v>0.314290071358933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11.292029706666668</v>
      </c>
      <c r="O8" s="38">
        <f>($C$5*Params!K10)</f>
        <v>0.78521945271816052</v>
      </c>
      <c r="P8" s="38">
        <f>(O8*N8)</f>
        <v>8.8667213863460113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11.292029706666668</v>
      </c>
      <c r="O9" s="38">
        <f>($C$5*Params!K11)</f>
        <v>1.4276717322148371</v>
      </c>
      <c r="P9" s="38">
        <f>(O9*N9)</f>
        <v>16.1213116115382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36.265379110340902</v>
      </c>
    </row>
    <row r="12" spans="2:20">
      <c r="F12" t="s">
        <v>9</v>
      </c>
      <c r="G12" s="38">
        <f>(D13/B13)</f>
        <v>0.15508817595175819</v>
      </c>
    </row>
    <row r="13" spans="2:20">
      <c r="B13" s="19">
        <f>(SUM(B5:B12))</f>
        <v>33.876089120000003</v>
      </c>
      <c r="D13" s="38">
        <f>(SUM(D5:D12))</f>
        <v>5.2537808700000017</v>
      </c>
    </row>
    <row r="17" spans="14:20">
      <c r="R17">
        <f>(SUM(R5:R16))</f>
        <v>33.876089120000003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97" priority="15" operator="lessThan">
      <formula>$J$3</formula>
    </cfRule>
    <cfRule type="cellIs" dxfId="96" priority="16" operator="greaterThan">
      <formula>$J$3</formula>
    </cfRule>
  </conditionalFormatting>
  <conditionalFormatting sqref="O3">
    <cfRule type="cellIs" dxfId="95" priority="9" operator="greaterThan">
      <formula>$J$3</formula>
    </cfRule>
    <cfRule type="cellIs" dxfId="94" priority="10" operator="lessThan">
      <formula>$J$3</formula>
    </cfRule>
  </conditionalFormatting>
  <conditionalFormatting sqref="C10">
    <cfRule type="cellIs" dxfId="93" priority="3" operator="lessThan">
      <formula>$J$3</formula>
    </cfRule>
    <cfRule type="cellIs" dxfId="92" priority="4" operator="greaterThan">
      <formula>$J$3</formula>
    </cfRule>
  </conditionalFormatting>
  <conditionalFormatting sqref="O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4" sqref="J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8.4127512094751042E-2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3.439552214780536</v>
      </c>
      <c r="K4" s="4">
        <f>(J4/D11-1)</f>
        <v>1.0324550968558648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89" priority="23" operator="lessThan">
      <formula>$J$3</formula>
    </cfRule>
    <cfRule type="cellIs" dxfId="88" priority="24" operator="greaterThan">
      <formula>$J$3</formula>
    </cfRule>
  </conditionalFormatting>
  <conditionalFormatting sqref="O8:O9">
    <cfRule type="cellIs" dxfId="87" priority="19" operator="lessThan">
      <formula>$J$3</formula>
    </cfRule>
    <cfRule type="cellIs" dxfId="86" priority="20" operator="greaterThan">
      <formula>$J$3</formula>
    </cfRule>
  </conditionalFormatting>
  <conditionalFormatting sqref="O3">
    <cfRule type="cellIs" dxfId="85" priority="17" operator="greaterThan">
      <formula>$J$3</formula>
    </cfRule>
    <cfRule type="cellIs" dxfId="84" priority="18" operator="lessThan">
      <formula>$J$3</formula>
    </cfRule>
  </conditionalFormatting>
  <conditionalFormatting sqref="C9">
    <cfRule type="cellIs" dxfId="83" priority="15" operator="lessThan">
      <formula>$J$3</formula>
    </cfRule>
    <cfRule type="cellIs" dxfId="82" priority="16" operator="greaterThan">
      <formula>$J$3</formula>
    </cfRule>
  </conditionalFormatting>
  <conditionalFormatting sqref="S5 S8">
    <cfRule type="cellIs" dxfId="81" priority="13" operator="lessThan">
      <formula>$J$3</formula>
    </cfRule>
    <cfRule type="cellIs" dxfId="80" priority="14" operator="greaterThan">
      <formula>$J$3</formula>
    </cfRule>
  </conditionalFormatting>
  <conditionalFormatting sqref="W35">
    <cfRule type="cellIs" dxfId="79" priority="1" operator="lessThan">
      <formula>$J$3</formula>
    </cfRule>
    <cfRule type="cellIs" dxfId="78" priority="2" operator="greaterThan">
      <formula>$J$3</formula>
    </cfRule>
    <cfRule type="cellIs" dxfId="77" priority="3" operator="lessThan">
      <formula>$J$3</formula>
    </cfRule>
    <cfRule type="cellIs" dxfId="76" priority="4" operator="greaterThan">
      <formula>$J$3</formula>
    </cfRule>
    <cfRule type="cellIs" dxfId="75" priority="5" operator="lessThan">
      <formula>$J$3</formula>
    </cfRule>
    <cfRule type="cellIs" dxfId="74" priority="6" operator="greaterThan">
      <formula>$J$3</formula>
    </cfRule>
    <cfRule type="cellIs" dxfId="73" priority="7" operator="lessThan">
      <formula>$J$3</formula>
    </cfRule>
    <cfRule type="cellIs" dxfId="72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0.64328029680087406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1.8811567942604352</v>
      </c>
      <c r="K4" s="4">
        <f>(J4/D10-1)</f>
        <v>-0.37294773524652158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1" priority="5" operator="lessThan">
      <formula>$J$3</formula>
    </cfRule>
    <cfRule type="cellIs" dxfId="70" priority="6" operator="greaterThan">
      <formula>$J$3</formula>
    </cfRule>
  </conditionalFormatting>
  <conditionalFormatting sqref="G9">
    <cfRule type="cellIs" dxfId="69" priority="3" operator="lessThan">
      <formula>$J$3</formula>
    </cfRule>
    <cfRule type="cellIs" dxfId="68" priority="4" operator="greaterThan">
      <formula>$J$3</formula>
    </cfRule>
  </conditionalFormatting>
  <conditionalFormatting sqref="O6:O9">
    <cfRule type="cellIs" dxfId="67" priority="1" operator="lessThan">
      <formula>$J$3</formula>
    </cfRule>
    <cfRule type="cellIs" dxfId="66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5.9221589109071486E-3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3.5497420511977449</v>
      </c>
      <c r="K4" s="4">
        <f>(J4/D10-1)</f>
        <v>0.18324735039924822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65" priority="5" operator="lessThan">
      <formula>$J$3</formula>
    </cfRule>
    <cfRule type="cellIs" dxfId="64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0.12268827899882501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0.74641095177305161</v>
      </c>
      <c r="K4" s="4">
        <f>(J4/D9-1)</f>
        <v>-0.97414357990445477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67" priority="9" operator="lessThan">
      <formula>$J$3</formula>
    </cfRule>
    <cfRule type="cellIs" dxfId="266" priority="10" operator="greaterThan">
      <formula>$J$3</formula>
    </cfRule>
  </conditionalFormatting>
  <conditionalFormatting sqref="O11:O14">
    <cfRule type="cellIs" dxfId="265" priority="7" operator="lessThan">
      <formula>$J$3</formula>
    </cfRule>
    <cfRule type="cellIs" dxfId="264" priority="8" operator="greaterThan">
      <formula>$J$3</formula>
    </cfRule>
  </conditionalFormatting>
  <conditionalFormatting sqref="O20:O23">
    <cfRule type="cellIs" dxfId="263" priority="5" operator="lessThan">
      <formula>$J$3</formula>
    </cfRule>
    <cfRule type="cellIs" dxfId="262" priority="6" operator="greaterThan">
      <formula>$J$3</formula>
    </cfRule>
  </conditionalFormatting>
  <conditionalFormatting sqref="O29:O32">
    <cfRule type="cellIs" dxfId="261" priority="3" operator="lessThan">
      <formula>$J$3</formula>
    </cfRule>
    <cfRule type="cellIs" dxfId="260" priority="4" operator="greaterThan">
      <formula>$J$3</formula>
    </cfRule>
  </conditionalFormatting>
  <conditionalFormatting sqref="N6">
    <cfRule type="cellIs" dxfId="259" priority="1" operator="lessThan">
      <formula>$J$3</formula>
    </cfRule>
    <cfRule type="cellIs" dxfId="25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632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1.4231560428939051E-3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5.9979011295365421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-262.95609887046339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-192.6060988704634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632</v>
      </c>
      <c r="E34">
        <f t="shared" ref="E34:E40" si="1">C34*D34</f>
        <v>3952.5279999999998</v>
      </c>
      <c r="F34" s="29">
        <f t="shared" ref="F34:F40" si="2">E34*$N$5</f>
        <v>3292.4558239999997</v>
      </c>
      <c r="G34" s="38">
        <v>3.5</v>
      </c>
      <c r="H34" s="30">
        <f>G50</f>
        <v>1.5615590400000001</v>
      </c>
      <c r="I34" s="39">
        <f t="shared" ref="I34:I41" si="3">((F34-H34*D34)*$J$3-G34)</f>
        <v>-0.21884185847170334</v>
      </c>
      <c r="J34">
        <v>1</v>
      </c>
      <c r="K34" s="44">
        <f t="shared" ref="K34:K40" si="4">I34*J34</f>
        <v>-0.21884185847170334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632</v>
      </c>
      <c r="E35">
        <f t="shared" si="1"/>
        <v>610.51199999999994</v>
      </c>
      <c r="F35" s="29">
        <f t="shared" si="2"/>
        <v>508.55649599999992</v>
      </c>
      <c r="G35" s="38">
        <v>3.5</v>
      </c>
      <c r="H35" s="30">
        <f>G51</f>
        <v>0.21337130135885166</v>
      </c>
      <c r="I35" s="39">
        <f t="shared" si="3"/>
        <v>-2.9681582847311292</v>
      </c>
      <c r="J35">
        <v>1</v>
      </c>
      <c r="K35" s="44">
        <f t="shared" si="4"/>
        <v>-2.9681582847311292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632</v>
      </c>
      <c r="E36">
        <f t="shared" si="1"/>
        <v>537.83199999999999</v>
      </c>
      <c r="F36" s="29">
        <f t="shared" si="2"/>
        <v>448.01405599999998</v>
      </c>
      <c r="G36" s="38">
        <v>3.5</v>
      </c>
      <c r="H36" s="30">
        <f>G52</f>
        <v>0.18479602162162162</v>
      </c>
      <c r="I36" s="39">
        <f t="shared" si="3"/>
        <v>-3.0286180282222839</v>
      </c>
      <c r="J36">
        <v>1</v>
      </c>
      <c r="K36" s="44">
        <f t="shared" si="4"/>
        <v>-3.0286180282222839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598</v>
      </c>
      <c r="E37">
        <f t="shared" si="1"/>
        <v>508.89799999999997</v>
      </c>
      <c r="F37" s="29">
        <f t="shared" si="2"/>
        <v>423.91203399999995</v>
      </c>
      <c r="G37" s="38">
        <v>0</v>
      </c>
      <c r="H37" s="30">
        <f>G52</f>
        <v>0.18479602162162162</v>
      </c>
      <c r="I37" s="39">
        <f t="shared" si="3"/>
        <v>0.4460228150681555</v>
      </c>
      <c r="J37">
        <v>3</v>
      </c>
      <c r="K37" s="44">
        <f t="shared" si="4"/>
        <v>1.3380684452044664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540</v>
      </c>
      <c r="E38">
        <f t="shared" si="1"/>
        <v>459.53999999999996</v>
      </c>
      <c r="F38" s="29">
        <f t="shared" si="2"/>
        <v>382.79681999999997</v>
      </c>
      <c r="G38" s="38">
        <v>0</v>
      </c>
      <c r="H38" s="30">
        <f>H37</f>
        <v>0.18479602162162162</v>
      </c>
      <c r="I38" s="39">
        <f t="shared" si="3"/>
        <v>0.40276307715184612</v>
      </c>
      <c r="J38">
        <v>1</v>
      </c>
      <c r="K38" s="44">
        <f t="shared" si="4"/>
        <v>0.40276307715184612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492</v>
      </c>
      <c r="E39">
        <f t="shared" si="1"/>
        <v>418.69200000000001</v>
      </c>
      <c r="F39" s="29">
        <f t="shared" si="2"/>
        <v>348.77043600000002</v>
      </c>
      <c r="G39" s="38">
        <v>0</v>
      </c>
      <c r="H39" s="30">
        <f>H38</f>
        <v>0.18479602162162162</v>
      </c>
      <c r="I39" s="39">
        <f t="shared" si="3"/>
        <v>0.36696191473834872</v>
      </c>
      <c r="J39">
        <v>1</v>
      </c>
      <c r="K39" s="44">
        <f t="shared" si="4"/>
        <v>0.36696191473834872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5.8906519096235684E-2</v>
      </c>
      <c r="J40" s="16">
        <v>1</v>
      </c>
      <c r="K40" s="46">
        <f t="shared" si="4"/>
        <v>5.8906519096235684E-2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358</v>
      </c>
      <c r="E41">
        <f>(C41*D41)</f>
        <v>304.65800000000002</v>
      </c>
      <c r="F41" s="29">
        <f>(E41*$N$5)</f>
        <v>253.780114</v>
      </c>
      <c r="G41" s="38">
        <v>0</v>
      </c>
      <c r="H41" s="29">
        <f>(H37)</f>
        <v>0.18479602162162162</v>
      </c>
      <c r="I41" s="39">
        <f t="shared" si="3"/>
        <v>0.26701700300066833</v>
      </c>
      <c r="J41">
        <v>1</v>
      </c>
      <c r="K41" s="44">
        <f>(I41*J41)</f>
        <v>0.26701700300066833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1.1915491295365452</v>
      </c>
      <c r="P46">
        <f>(O46/J3)</f>
        <v>837.25824408797746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57" priority="17" operator="lessThan">
      <formula>$C$5</formula>
    </cfRule>
    <cfRule type="cellIs" dxfId="256" priority="18" operator="greaterThan">
      <formula>$C$5</formula>
    </cfRule>
  </conditionalFormatting>
  <conditionalFormatting sqref="L35">
    <cfRule type="cellIs" dxfId="255" priority="15" operator="lessThan">
      <formula>$C$6</formula>
    </cfRule>
    <cfRule type="cellIs" dxfId="254" priority="16" operator="greaterThan">
      <formula>$C$6</formula>
    </cfRule>
  </conditionalFormatting>
  <conditionalFormatting sqref="L39">
    <cfRule type="cellIs" dxfId="253" priority="13" operator="lessThan">
      <formula>$C$20</formula>
    </cfRule>
    <cfRule type="cellIs" dxfId="252" priority="14" operator="greaterThan">
      <formula>$C$20</formula>
    </cfRule>
  </conditionalFormatting>
  <conditionalFormatting sqref="L38">
    <cfRule type="cellIs" dxfId="251" priority="11" operator="lessThan">
      <formula>$C$19</formula>
    </cfRule>
    <cfRule type="cellIs" dxfId="250" priority="12" operator="greaterThan">
      <formula>$C$19</formula>
    </cfRule>
  </conditionalFormatting>
  <conditionalFormatting sqref="L37">
    <cfRule type="cellIs" dxfId="249" priority="9" operator="lessThan">
      <formula>$C$17</formula>
    </cfRule>
    <cfRule type="cellIs" dxfId="248" priority="10" operator="greaterThan">
      <formula>$C$17</formula>
    </cfRule>
  </conditionalFormatting>
  <conditionalFormatting sqref="L36">
    <cfRule type="cellIs" dxfId="247" priority="7" operator="lessThan">
      <formula>$C$7</formula>
    </cfRule>
    <cfRule type="cellIs" dxfId="246" priority="8" operator="greaterThan">
      <formula>$C$7</formula>
    </cfRule>
  </conditionalFormatting>
  <conditionalFormatting sqref="L41">
    <cfRule type="cellIs" dxfId="245" priority="5" operator="lessThan">
      <formula>$C$20</formula>
    </cfRule>
    <cfRule type="cellIs" dxfId="244" priority="6" operator="greaterThan">
      <formula>$C$20</formula>
    </cfRule>
  </conditionalFormatting>
  <conditionalFormatting sqref="L42">
    <cfRule type="cellIs" dxfId="243" priority="3" operator="lessThan">
      <formula>$C$27</formula>
    </cfRule>
    <cfRule type="cellIs" dxfId="242" priority="4" operator="greaterThan">
      <formula>$C$27</formula>
    </cfRule>
  </conditionalFormatting>
  <conditionalFormatting sqref="L43:L45">
    <cfRule type="cellIs" dxfId="241" priority="1" operator="lessThan">
      <formula>$C$7</formula>
    </cfRule>
    <cfRule type="cellIs" dxfId="24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0.2492829566282764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25.173868845337626</v>
      </c>
      <c r="K4" s="4">
        <f>(J4/D13-1)</f>
        <v>-0.26798947190833378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0.57977193999999999</v>
      </c>
      <c r="C6" s="40">
        <v>0</v>
      </c>
      <c r="D6" s="40">
        <f>(B6*C6)</f>
        <v>0</v>
      </c>
      <c r="E6" s="38">
        <f>(B6*J3)</f>
        <v>0.14452726337331168</v>
      </c>
      <c r="M6" t="s">
        <v>11</v>
      </c>
      <c r="N6" s="1">
        <f>($B$13/5)</f>
        <v>20.197023644000001</v>
      </c>
      <c r="O6" s="38">
        <f>($S$7*Params!K8)</f>
        <v>0.45077040430278165</v>
      </c>
      <c r="P6" s="38">
        <f>(O6*N6)</f>
        <v>9.1042205137187207</v>
      </c>
      <c r="R6" s="2">
        <f>(B6)</f>
        <v>0.57977193999999999</v>
      </c>
      <c r="S6" s="40">
        <v>0</v>
      </c>
      <c r="T6" s="40">
        <f>(D6)</f>
        <v>0</v>
      </c>
      <c r="U6" s="38">
        <f>(R6*J3)</f>
        <v>0.14452726337331168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20.197023644000001</v>
      </c>
      <c r="O7" s="38">
        <f>($S$7*Params!K9)</f>
        <v>0.55479434375726977</v>
      </c>
      <c r="P7" s="38">
        <f>(O7*N7)</f>
        <v>11.205194478423042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20.197023644000001</v>
      </c>
      <c r="O8" s="38">
        <f>($C$7*Params!K10)</f>
        <v>0.76284222266624591</v>
      </c>
      <c r="P8" s="38">
        <f>(O8*N8)</f>
        <v>15.407142407831682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20.197023644000001</v>
      </c>
      <c r="O9" s="38">
        <f>($C$7*Params!K11)</f>
        <v>1.3869858593931743</v>
      </c>
      <c r="P9" s="38">
        <f>(O9*N9)</f>
        <v>28.012986196057604</v>
      </c>
    </row>
    <row r="10" spans="2:21">
      <c r="N10" s="1"/>
      <c r="P10" s="38"/>
    </row>
    <row r="11" spans="2:21">
      <c r="P11" s="38">
        <f>(SUM(P6:P9))</f>
        <v>63.729543596031043</v>
      </c>
    </row>
    <row r="12" spans="2:21">
      <c r="F12" t="s">
        <v>9</v>
      </c>
      <c r="G12" s="35">
        <f>(D13/B13)</f>
        <v>0.34054558925286366</v>
      </c>
    </row>
    <row r="13" spans="2:21">
      <c r="B13" s="1">
        <f>(SUM(B5:B12))</f>
        <v>100.98511822</v>
      </c>
      <c r="D13" s="38">
        <f>(SUM(D5:D12))</f>
        <v>34.390036590000001</v>
      </c>
      <c r="R13" s="1">
        <f>(SUM(R5:R12))</f>
        <v>100.98511822</v>
      </c>
      <c r="T13" s="38">
        <f>(SUM(T5:T12))</f>
        <v>34.390036590000001</v>
      </c>
    </row>
  </sheetData>
  <conditionalFormatting sqref="C5 C7 G12 S5 S7">
    <cfRule type="cellIs" dxfId="239" priority="15" operator="lessThan">
      <formula>$J$3</formula>
    </cfRule>
    <cfRule type="cellIs" dxfId="238" priority="16" operator="greaterThan">
      <formula>$J$3</formula>
    </cfRule>
  </conditionalFormatting>
  <conditionalFormatting sqref="O6:O9">
    <cfRule type="cellIs" dxfId="237" priority="11" operator="lessThan">
      <formula>$J$3</formula>
    </cfRule>
    <cfRule type="cellIs" dxfId="236" priority="12" operator="greaterThan">
      <formula>$J$3</formula>
    </cfRule>
  </conditionalFormatting>
  <conditionalFormatting sqref="O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9.1871658928845051E-2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5.8070735238167845</v>
      </c>
      <c r="K4" s="4">
        <f>(J4/D14-1)</f>
        <v>-0.40900123146251721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0.46573149000000003</v>
      </c>
      <c r="C6" s="40">
        <v>0</v>
      </c>
      <c r="D6" s="40">
        <f>(B6*C6)</f>
        <v>0</v>
      </c>
      <c r="E6" s="38">
        <f>(B6*J3)</f>
        <v>4.2787524601702813E-2</v>
      </c>
      <c r="M6" t="s">
        <v>11</v>
      </c>
      <c r="N6" s="29">
        <f>($B$14/5)</f>
        <v>12.641708208000001</v>
      </c>
      <c r="O6" s="38">
        <f>($C$5*Params!K8)</f>
        <v>0.21940472231459929</v>
      </c>
      <c r="P6" s="38">
        <f>(O6*N6)</f>
        <v>2.7736504789584306</v>
      </c>
      <c r="R6" s="25">
        <f>(B6)</f>
        <v>0.46573149000000003</v>
      </c>
      <c r="S6" s="40">
        <v>0</v>
      </c>
      <c r="T6" s="40">
        <f>(D6)</f>
        <v>0</v>
      </c>
      <c r="U6" s="38">
        <f>(E6)</f>
        <v>4.2787524601702813E-2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12.641708208000001</v>
      </c>
      <c r="O7" s="38">
        <f>($C$5*Params!K9)</f>
        <v>0.27003658131027602</v>
      </c>
      <c r="P7" s="38">
        <f>(O7*N7)</f>
        <v>3.4137236664103758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12.641708208000001</v>
      </c>
      <c r="O8" s="38">
        <f>($C$5*Params!K10)</f>
        <v>0.37130029930162955</v>
      </c>
      <c r="P8" s="38">
        <f>(O8*N8)</f>
        <v>4.6938700413142671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12.641708208000001</v>
      </c>
      <c r="O9" s="38">
        <f>($C$5*Params!K11)</f>
        <v>0.67509145327569009</v>
      </c>
      <c r="P9" s="38">
        <f>(O9*N9)</f>
        <v>8.53430916602594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19.415553352709011</v>
      </c>
    </row>
    <row r="13" spans="2:21">
      <c r="F13" t="s">
        <v>9</v>
      </c>
      <c r="G13" s="38">
        <f>(D14/B14)</f>
        <v>0.15545152345443219</v>
      </c>
    </row>
    <row r="14" spans="2:21">
      <c r="B14" s="29">
        <f>(SUM(B5:B13))</f>
        <v>63.20854104</v>
      </c>
      <c r="D14" s="38">
        <f>(SUM(D5:D13))</f>
        <v>9.8258639999999993</v>
      </c>
    </row>
    <row r="17" spans="11:20">
      <c r="N17" s="29"/>
      <c r="R17" s="29">
        <f>(SUM(R5:R16))</f>
        <v>63.208541040000007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33" priority="13" operator="lessThan">
      <formula>$J$3</formula>
    </cfRule>
    <cfRule type="cellIs" dxfId="232" priority="14" operator="greaterThan">
      <formula>$J$3</formula>
    </cfRule>
  </conditionalFormatting>
  <conditionalFormatting sqref="C9:C10">
    <cfRule type="cellIs" dxfId="231" priority="11" operator="lessThan">
      <formula>$J$3</formula>
    </cfRule>
    <cfRule type="cellIs" dxfId="230" priority="12" operator="greaterThan">
      <formula>$J$3</formula>
    </cfRule>
  </conditionalFormatting>
  <conditionalFormatting sqref="O6:O9">
    <cfRule type="cellIs" dxfId="229" priority="9" operator="lessThan">
      <formula>$J$3</formula>
    </cfRule>
    <cfRule type="cellIs" dxfId="228" priority="10" operator="greaterThan">
      <formula>$J$3</formula>
    </cfRule>
  </conditionalFormatting>
  <conditionalFormatting sqref="S5 S7:S8">
    <cfRule type="cellIs" dxfId="227" priority="5" operator="lessThan">
      <formula>$J$3</formula>
    </cfRule>
    <cfRule type="cellIs" dxfId="226" priority="6" operator="greaterThan">
      <formula>$J$3</formula>
    </cfRule>
  </conditionalFormatting>
  <conditionalFormatting sqref="O6">
    <cfRule type="cellIs" dxfId="225" priority="3" operator="lessThan">
      <formula>$J$3</formula>
    </cfRule>
    <cfRule type="cellIs" dxfId="224" priority="4" operator="greaterThan">
      <formula>$J$3</formula>
    </cfRule>
  </conditionalFormatting>
  <conditionalFormatting sqref="G13">
    <cfRule type="cellIs" dxfId="223" priority="1" operator="lessThan">
      <formula>$J$3</formula>
    </cfRule>
    <cfRule type="cellIs" dxfId="22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2023-09-10T20:31:52Z</dcterms:modified>
</cp:coreProperties>
</file>