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3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N6" i="20"/>
  <c r="N3" s="1"/>
  <c r="P6"/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S6"/>
  <c r="R6"/>
  <c r="N6"/>
  <c r="C6"/>
  <c r="O6" s="1"/>
  <c r="R5"/>
  <c r="C5"/>
  <c r="O9" s="1"/>
  <c r="P9" s="1"/>
  <c r="K4"/>
  <c r="J4"/>
  <c r="B14" i="31"/>
  <c r="C12"/>
  <c r="C11"/>
  <c r="C10"/>
  <c r="N9"/>
  <c r="C9"/>
  <c r="T8"/>
  <c r="S8"/>
  <c r="R8"/>
  <c r="N8"/>
  <c r="C8"/>
  <c r="T7"/>
  <c r="R7"/>
  <c r="N7"/>
  <c r="C7"/>
  <c r="T6"/>
  <c r="S6"/>
  <c r="R6"/>
  <c r="P6"/>
  <c r="N6"/>
  <c r="E6"/>
  <c r="D6"/>
  <c r="D14" s="1"/>
  <c r="G13" s="1"/>
  <c r="R5"/>
  <c r="R18" s="1"/>
  <c r="C5"/>
  <c r="O8" s="1"/>
  <c r="P8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/>
  <c r="N8"/>
  <c r="N7"/>
  <c r="N6"/>
  <c r="Q6" s="1"/>
  <c r="Q7" s="1"/>
  <c r="E6"/>
  <c r="D6"/>
  <c r="D13" s="1"/>
  <c r="G12" s="1"/>
  <c r="C5"/>
  <c r="O9" s="1"/>
  <c r="P9" s="1"/>
  <c r="J4"/>
  <c r="K4" s="1"/>
  <c r="D38" i="28"/>
  <c r="C38" s="1"/>
  <c r="O8" s="1"/>
  <c r="C37"/>
  <c r="C36"/>
  <c r="C35"/>
  <c r="B34"/>
  <c r="C34" s="1"/>
  <c r="D33"/>
  <c r="C33"/>
  <c r="C32"/>
  <c r="C31"/>
  <c r="C30"/>
  <c r="D29"/>
  <c r="C29" s="1"/>
  <c r="B28"/>
  <c r="C28" s="1"/>
  <c r="C27"/>
  <c r="B26"/>
  <c r="C26" s="1"/>
  <c r="C25"/>
  <c r="T24"/>
  <c r="S24"/>
  <c r="R24"/>
  <c r="C24"/>
  <c r="T23"/>
  <c r="S23" s="1"/>
  <c r="R23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O15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N8"/>
  <c r="B8"/>
  <c r="C8" s="1"/>
  <c r="T7"/>
  <c r="R7"/>
  <c r="P7"/>
  <c r="N7"/>
  <c r="C7"/>
  <c r="T6"/>
  <c r="O6"/>
  <c r="N6"/>
  <c r="P6" s="1"/>
  <c r="B6"/>
  <c r="R6" s="1"/>
  <c r="S5"/>
  <c r="D5"/>
  <c r="D40" s="1"/>
  <c r="B5"/>
  <c r="B40" s="1"/>
  <c r="J4" s="1"/>
  <c r="K4" s="1"/>
  <c r="B13" i="27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9" i="26"/>
  <c r="J4" s="1"/>
  <c r="N17"/>
  <c r="C17"/>
  <c r="N16"/>
  <c r="C16"/>
  <c r="N15"/>
  <c r="C15"/>
  <c r="N14"/>
  <c r="C14"/>
  <c r="C13"/>
  <c r="C12"/>
  <c r="C11"/>
  <c r="C10"/>
  <c r="T9"/>
  <c r="V9" s="1"/>
  <c r="R9"/>
  <c r="N9"/>
  <c r="D9"/>
  <c r="D19" s="1"/>
  <c r="G18" s="1"/>
  <c r="C9"/>
  <c r="T8"/>
  <c r="V8" s="1"/>
  <c r="R8"/>
  <c r="N8"/>
  <c r="C8"/>
  <c r="T7"/>
  <c r="R7"/>
  <c r="N7"/>
  <c r="E7"/>
  <c r="U6"/>
  <c r="T6"/>
  <c r="S6"/>
  <c r="R6"/>
  <c r="N6"/>
  <c r="C6"/>
  <c r="O17" s="1"/>
  <c r="P17" s="1"/>
  <c r="T5"/>
  <c r="T22" s="1"/>
  <c r="R5"/>
  <c r="R22" s="1"/>
  <c r="C5"/>
  <c r="O9" s="1"/>
  <c r="P9" s="1"/>
  <c r="B10" i="25"/>
  <c r="N9" s="1"/>
  <c r="N7"/>
  <c r="E7"/>
  <c r="D7"/>
  <c r="E6"/>
  <c r="D6"/>
  <c r="D10" s="1"/>
  <c r="G9" s="1"/>
  <c r="C5"/>
  <c r="O9" s="1"/>
  <c r="P9" s="1"/>
  <c r="J4"/>
  <c r="K4" s="1"/>
  <c r="N17" i="24"/>
  <c r="N16"/>
  <c r="B16"/>
  <c r="D16" s="1"/>
  <c r="T9" s="1"/>
  <c r="D15"/>
  <c r="B15"/>
  <c r="B18" s="1"/>
  <c r="J4" s="1"/>
  <c r="N14"/>
  <c r="C14"/>
  <c r="C13"/>
  <c r="C12"/>
  <c r="C11"/>
  <c r="T10"/>
  <c r="R10"/>
  <c r="N15" s="1"/>
  <c r="C10"/>
  <c r="R9"/>
  <c r="N9" s="1"/>
  <c r="C9"/>
  <c r="T8"/>
  <c r="S8"/>
  <c r="R8"/>
  <c r="N8"/>
  <c r="C8"/>
  <c r="T7"/>
  <c r="S7" s="1"/>
  <c r="R7"/>
  <c r="C7"/>
  <c r="O9" s="1"/>
  <c r="P9" s="1"/>
  <c r="R6"/>
  <c r="U6" s="1"/>
  <c r="N6"/>
  <c r="E6"/>
  <c r="D6"/>
  <c r="D18" s="1"/>
  <c r="G17" s="1"/>
  <c r="T5"/>
  <c r="S5"/>
  <c r="R5"/>
  <c r="R17" s="1"/>
  <c r="C5"/>
  <c r="O15" s="1"/>
  <c r="P15" s="1"/>
  <c r="B35" i="23"/>
  <c r="E35" s="1"/>
  <c r="C34"/>
  <c r="C33"/>
  <c r="B32"/>
  <c r="C32" s="1"/>
  <c r="C31"/>
  <c r="C30"/>
  <c r="C29"/>
  <c r="C28"/>
  <c r="C27"/>
  <c r="D26"/>
  <c r="B26"/>
  <c r="T25"/>
  <c r="D25"/>
  <c r="T21" s="1"/>
  <c r="S21" s="1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T13"/>
  <c r="S13"/>
  <c r="R13"/>
  <c r="C13"/>
  <c r="R12"/>
  <c r="S12" s="1"/>
  <c r="C12"/>
  <c r="S11"/>
  <c r="R11"/>
  <c r="C11"/>
  <c r="R10"/>
  <c r="S10" s="1"/>
  <c r="C10"/>
  <c r="B9"/>
  <c r="B37" s="1"/>
  <c r="J4" s="1"/>
  <c r="R8"/>
  <c r="S8" s="1"/>
  <c r="C8"/>
  <c r="T7"/>
  <c r="R7"/>
  <c r="D7"/>
  <c r="R6"/>
  <c r="T6" s="1"/>
  <c r="D6"/>
  <c r="D37" s="1"/>
  <c r="R5"/>
  <c r="D5"/>
  <c r="D15" i="22"/>
  <c r="D14"/>
  <c r="D13"/>
  <c r="D12"/>
  <c r="D11"/>
  <c r="D10"/>
  <c r="D9"/>
  <c r="D8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R21" s="1"/>
  <c r="C7"/>
  <c r="O9" s="1"/>
  <c r="R6"/>
  <c r="N6"/>
  <c r="E6"/>
  <c r="D6"/>
  <c r="D15" s="1"/>
  <c r="G14" s="1"/>
  <c r="T5"/>
  <c r="S5"/>
  <c r="R5"/>
  <c r="N9" s="1"/>
  <c r="C5"/>
  <c r="J4"/>
  <c r="K4" s="1"/>
  <c r="B10" i="20"/>
  <c r="N9" s="1"/>
  <c r="O9"/>
  <c r="P9" s="1"/>
  <c r="O8"/>
  <c r="R7"/>
  <c r="O7"/>
  <c r="D7"/>
  <c r="T7" s="1"/>
  <c r="S7" s="1"/>
  <c r="T6"/>
  <c r="S6" s="1"/>
  <c r="R6"/>
  <c r="O6"/>
  <c r="O3" s="1"/>
  <c r="E6"/>
  <c r="D6"/>
  <c r="D10" s="1"/>
  <c r="G9" s="1"/>
  <c r="T5"/>
  <c r="R5"/>
  <c r="R21" s="1"/>
  <c r="C5"/>
  <c r="B10" i="19"/>
  <c r="N9"/>
  <c r="N8"/>
  <c r="O7"/>
  <c r="P7" s="1"/>
  <c r="N7"/>
  <c r="N6"/>
  <c r="E6"/>
  <c r="D6"/>
  <c r="D10" s="1"/>
  <c r="C5"/>
  <c r="O9" s="1"/>
  <c r="P9" s="1"/>
  <c r="J4"/>
  <c r="B10" i="18"/>
  <c r="N7"/>
  <c r="E6"/>
  <c r="D6"/>
  <c r="D10" s="1"/>
  <c r="G9" s="1"/>
  <c r="C5"/>
  <c r="O7" s="1"/>
  <c r="P7" s="1"/>
  <c r="J4"/>
  <c r="K4" s="1"/>
  <c r="B13" i="17"/>
  <c r="O9"/>
  <c r="O8"/>
  <c r="O7"/>
  <c r="O6"/>
  <c r="E6"/>
  <c r="D6"/>
  <c r="D13" s="1"/>
  <c r="J4"/>
  <c r="K4" s="1"/>
  <c r="C10" i="16"/>
  <c r="B9"/>
  <c r="D9" s="1"/>
  <c r="D8" s="1"/>
  <c r="T8" s="1"/>
  <c r="C8"/>
  <c r="B8"/>
  <c r="R8" s="1"/>
  <c r="S8" s="1"/>
  <c r="T7"/>
  <c r="R7"/>
  <c r="R13" s="1"/>
  <c r="C7"/>
  <c r="T6"/>
  <c r="S6"/>
  <c r="O6" s="1"/>
  <c r="R6"/>
  <c r="E6"/>
  <c r="D6"/>
  <c r="D14" s="1"/>
  <c r="T5"/>
  <c r="T13" s="1"/>
  <c r="R5"/>
  <c r="U5" s="1"/>
  <c r="C5"/>
  <c r="B13" i="15"/>
  <c r="O9"/>
  <c r="N8"/>
  <c r="O7"/>
  <c r="N6"/>
  <c r="E6"/>
  <c r="D6"/>
  <c r="D13" s="1"/>
  <c r="G12" s="1"/>
  <c r="C5"/>
  <c r="O8" s="1"/>
  <c r="P8" s="1"/>
  <c r="B17" i="14"/>
  <c r="C15"/>
  <c r="D14"/>
  <c r="C14" s="1"/>
  <c r="C13"/>
  <c r="C12"/>
  <c r="C11"/>
  <c r="T10"/>
  <c r="R10"/>
  <c r="E10"/>
  <c r="S9"/>
  <c r="R9"/>
  <c r="D9"/>
  <c r="S8"/>
  <c r="O9" s="1"/>
  <c r="R8"/>
  <c r="N9" s="1"/>
  <c r="N8"/>
  <c r="E8"/>
  <c r="S7"/>
  <c r="R7"/>
  <c r="T7" s="1"/>
  <c r="O7"/>
  <c r="P7" s="1"/>
  <c r="N7"/>
  <c r="E7"/>
  <c r="S6"/>
  <c r="R6"/>
  <c r="T6" s="1"/>
  <c r="O6"/>
  <c r="N6"/>
  <c r="P6" s="1"/>
  <c r="D6"/>
  <c r="T5"/>
  <c r="R5"/>
  <c r="N24" s="1"/>
  <c r="D5"/>
  <c r="G17" s="1"/>
  <c r="J4"/>
  <c r="D13" i="13"/>
  <c r="B13"/>
  <c r="G12"/>
  <c r="C11"/>
  <c r="C10"/>
  <c r="C9"/>
  <c r="C8"/>
  <c r="C7"/>
  <c r="T6"/>
  <c r="R6"/>
  <c r="N9" s="1"/>
  <c r="C6"/>
  <c r="O6" s="1"/>
  <c r="T5"/>
  <c r="T15" s="1"/>
  <c r="S5"/>
  <c r="R5"/>
  <c r="R15" s="1"/>
  <c r="C5"/>
  <c r="O9" s="1"/>
  <c r="J4"/>
  <c r="K4" s="1"/>
  <c r="N17" i="12"/>
  <c r="N16"/>
  <c r="N15"/>
  <c r="N14"/>
  <c r="B13"/>
  <c r="C11"/>
  <c r="C10"/>
  <c r="O17" s="1"/>
  <c r="P17" s="1"/>
  <c r="C9"/>
  <c r="U8"/>
  <c r="T8"/>
  <c r="S8"/>
  <c r="R8"/>
  <c r="C8"/>
  <c r="T7"/>
  <c r="R7"/>
  <c r="N7" s="1"/>
  <c r="C7"/>
  <c r="T6"/>
  <c r="S6"/>
  <c r="R6"/>
  <c r="N6"/>
  <c r="E6"/>
  <c r="D6"/>
  <c r="D13" s="1"/>
  <c r="G12" s="1"/>
  <c r="T5"/>
  <c r="T13" s="1"/>
  <c r="R5"/>
  <c r="R13" s="1"/>
  <c r="C5"/>
  <c r="O9" s="1"/>
  <c r="J4"/>
  <c r="K4" s="1"/>
  <c r="B14" i="11"/>
  <c r="O9"/>
  <c r="P9" s="1"/>
  <c r="N9"/>
  <c r="N8"/>
  <c r="O7"/>
  <c r="P7" s="1"/>
  <c r="N7"/>
  <c r="E7"/>
  <c r="D7"/>
  <c r="N6"/>
  <c r="E6"/>
  <c r="D6"/>
  <c r="D14" s="1"/>
  <c r="C5"/>
  <c r="O8" s="1"/>
  <c r="P8" s="1"/>
  <c r="J4"/>
  <c r="B14" i="10"/>
  <c r="D12"/>
  <c r="C12"/>
  <c r="C11"/>
  <c r="C10"/>
  <c r="C9"/>
  <c r="C8"/>
  <c r="T7"/>
  <c r="U7" s="1"/>
  <c r="R7"/>
  <c r="C7"/>
  <c r="T6"/>
  <c r="S6"/>
  <c r="R6"/>
  <c r="E6"/>
  <c r="D6"/>
  <c r="D14" s="1"/>
  <c r="G13" s="1"/>
  <c r="T5"/>
  <c r="T14" s="1"/>
  <c r="R5"/>
  <c r="R14" s="1"/>
  <c r="C5"/>
  <c r="O9" s="1"/>
  <c r="J4"/>
  <c r="K4" s="1"/>
  <c r="B14" i="9"/>
  <c r="C10"/>
  <c r="N9"/>
  <c r="C9"/>
  <c r="N8"/>
  <c r="C8"/>
  <c r="T7"/>
  <c r="R7"/>
  <c r="N7"/>
  <c r="C7"/>
  <c r="R6"/>
  <c r="N6"/>
  <c r="E6"/>
  <c r="U6" s="1"/>
  <c r="D6"/>
  <c r="D14" s="1"/>
  <c r="T5"/>
  <c r="R5"/>
  <c r="R17" s="1"/>
  <c r="C5"/>
  <c r="O9" s="1"/>
  <c r="P9" s="1"/>
  <c r="J4"/>
  <c r="B13" i="8"/>
  <c r="N9"/>
  <c r="C9"/>
  <c r="T8"/>
  <c r="R8"/>
  <c r="N8"/>
  <c r="C8"/>
  <c r="T7"/>
  <c r="S7"/>
  <c r="O7" s="1"/>
  <c r="P7" s="1"/>
  <c r="R7"/>
  <c r="N7"/>
  <c r="C7"/>
  <c r="O9" s="1"/>
  <c r="P9" s="1"/>
  <c r="R6"/>
  <c r="U6" s="1"/>
  <c r="O6"/>
  <c r="P6" s="1"/>
  <c r="N6"/>
  <c r="E6"/>
  <c r="D6"/>
  <c r="D13" s="1"/>
  <c r="T5"/>
  <c r="R5"/>
  <c r="R13" s="1"/>
  <c r="C5"/>
  <c r="J4"/>
  <c r="C6" i="7"/>
  <c r="E6" s="1"/>
  <c r="C5"/>
  <c r="E5" s="1"/>
  <c r="C4" i="6"/>
  <c r="C74" i="5"/>
  <c r="E72"/>
  <c r="E71"/>
  <c r="E70"/>
  <c r="E69"/>
  <c r="E68"/>
  <c r="E67"/>
  <c r="E66"/>
  <c r="E65"/>
  <c r="E64"/>
  <c r="E63"/>
  <c r="D62"/>
  <c r="D74" s="1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D12"/>
  <c r="E12" s="1"/>
  <c r="E11"/>
  <c r="D10"/>
  <c r="E10" s="1"/>
  <c r="E9"/>
  <c r="J14" s="1"/>
  <c r="E8"/>
  <c r="E7"/>
  <c r="E6"/>
  <c r="E5"/>
  <c r="J12" s="1"/>
  <c r="O32" i="4"/>
  <c r="P32" s="1"/>
  <c r="N32"/>
  <c r="O31"/>
  <c r="P31" s="1"/>
  <c r="N31"/>
  <c r="O30"/>
  <c r="P30" s="1"/>
  <c r="N30"/>
  <c r="O29"/>
  <c r="P29" s="1"/>
  <c r="P35" s="1"/>
  <c r="N29"/>
  <c r="O23"/>
  <c r="P23" s="1"/>
  <c r="N23"/>
  <c r="O22"/>
  <c r="P22" s="1"/>
  <c r="N22"/>
  <c r="O21"/>
  <c r="P21" s="1"/>
  <c r="N21"/>
  <c r="O20"/>
  <c r="P20" s="1"/>
  <c r="P26" s="1"/>
  <c r="N20"/>
  <c r="O14"/>
  <c r="P14" s="1"/>
  <c r="N14"/>
  <c r="O13"/>
  <c r="P13" s="1"/>
  <c r="N13"/>
  <c r="O12"/>
  <c r="P12" s="1"/>
  <c r="N12"/>
  <c r="O11"/>
  <c r="N11"/>
  <c r="P11" s="1"/>
  <c r="P17" s="1"/>
  <c r="B9"/>
  <c r="D7"/>
  <c r="N6"/>
  <c r="O6" s="1"/>
  <c r="D6"/>
  <c r="D5"/>
  <c r="D9" s="1"/>
  <c r="J4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118" s="1"/>
  <c r="Y2"/>
  <c r="M68" i="2"/>
  <c r="M67"/>
  <c r="M66"/>
  <c r="N65"/>
  <c r="O65" s="1"/>
  <c r="M65"/>
  <c r="M60"/>
  <c r="M59"/>
  <c r="N57"/>
  <c r="M52"/>
  <c r="M51"/>
  <c r="M49"/>
  <c r="M44"/>
  <c r="M43"/>
  <c r="M42"/>
  <c r="N41"/>
  <c r="M41"/>
  <c r="O41" s="1"/>
  <c r="M36"/>
  <c r="M35"/>
  <c r="B35"/>
  <c r="C35" s="1"/>
  <c r="M34"/>
  <c r="C34"/>
  <c r="N33"/>
  <c r="O33" s="1"/>
  <c r="M33"/>
  <c r="D33"/>
  <c r="C33" s="1"/>
  <c r="N19" s="1"/>
  <c r="O19" s="1"/>
  <c r="B33"/>
  <c r="C32"/>
  <c r="N49" s="1"/>
  <c r="O49" s="1"/>
  <c r="B30"/>
  <c r="D29"/>
  <c r="M28"/>
  <c r="D28"/>
  <c r="M27"/>
  <c r="D27"/>
  <c r="M26"/>
  <c r="D26"/>
  <c r="C26"/>
  <c r="N25"/>
  <c r="O25" s="1"/>
  <c r="M25"/>
  <c r="C25"/>
  <c r="N67" s="1"/>
  <c r="O67" s="1"/>
  <c r="T24"/>
  <c r="S24"/>
  <c r="N76" s="1"/>
  <c r="R24"/>
  <c r="M75" s="1"/>
  <c r="C24"/>
  <c r="T23"/>
  <c r="R23"/>
  <c r="C23"/>
  <c r="C22"/>
  <c r="N44" s="1"/>
  <c r="O44" s="1"/>
  <c r="R21"/>
  <c r="C21"/>
  <c r="M20"/>
  <c r="C20"/>
  <c r="N34" s="1"/>
  <c r="O34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T17"/>
  <c r="S17" s="1"/>
  <c r="R17"/>
  <c r="M17"/>
  <c r="C17"/>
  <c r="N20" s="1"/>
  <c r="O20" s="1"/>
  <c r="T16"/>
  <c r="S16"/>
  <c r="R16"/>
  <c r="D16"/>
  <c r="T14" s="1"/>
  <c r="S14" s="1"/>
  <c r="T15"/>
  <c r="S15"/>
  <c r="R15"/>
  <c r="D15"/>
  <c r="R14"/>
  <c r="D14"/>
  <c r="T13"/>
  <c r="R13"/>
  <c r="D13"/>
  <c r="T12" s="1"/>
  <c r="S12" s="1"/>
  <c r="R12"/>
  <c r="N12"/>
  <c r="M12"/>
  <c r="O12" s="1"/>
  <c r="D12"/>
  <c r="T11"/>
  <c r="R11"/>
  <c r="N11"/>
  <c r="M11"/>
  <c r="O11" s="1"/>
  <c r="D11"/>
  <c r="T10"/>
  <c r="R10"/>
  <c r="N10"/>
  <c r="M10"/>
  <c r="O10" s="1"/>
  <c r="D10"/>
  <c r="S9"/>
  <c r="R9"/>
  <c r="N9"/>
  <c r="M9"/>
  <c r="O9" s="1"/>
  <c r="C9"/>
  <c r="S8"/>
  <c r="R8"/>
  <c r="C8"/>
  <c r="S7"/>
  <c r="R7"/>
  <c r="C7"/>
  <c r="T6"/>
  <c r="R6"/>
  <c r="E6"/>
  <c r="D6"/>
  <c r="T5"/>
  <c r="R5"/>
  <c r="D5"/>
  <c r="C40" i="1"/>
  <c r="B38"/>
  <c r="B39" s="1"/>
  <c r="C37"/>
  <c r="C36"/>
  <c r="C35"/>
  <c r="C34"/>
  <c r="D33"/>
  <c r="D32"/>
  <c r="D31"/>
  <c r="D30"/>
  <c r="D29"/>
  <c r="C28"/>
  <c r="D27"/>
  <c r="D26"/>
  <c r="D25"/>
  <c r="D24"/>
  <c r="T23"/>
  <c r="S23" s="1"/>
  <c r="R23"/>
  <c r="N37" s="1"/>
  <c r="D23"/>
  <c r="C23" s="1"/>
  <c r="N6" s="1"/>
  <c r="B23"/>
  <c r="B42" s="1"/>
  <c r="D22"/>
  <c r="R21"/>
  <c r="N21"/>
  <c r="D21"/>
  <c r="T20"/>
  <c r="S20"/>
  <c r="O29" s="1"/>
  <c r="R20"/>
  <c r="N29" s="1"/>
  <c r="N20"/>
  <c r="C20"/>
  <c r="T19"/>
  <c r="S19"/>
  <c r="O20" s="1"/>
  <c r="P20" s="1"/>
  <c r="R19"/>
  <c r="C19"/>
  <c r="D19" s="1"/>
  <c r="O18"/>
  <c r="N18"/>
  <c r="N19" s="1"/>
  <c r="C18"/>
  <c r="D18" s="1"/>
  <c r="R17"/>
  <c r="S17" s="1"/>
  <c r="D17"/>
  <c r="T16"/>
  <c r="R16"/>
  <c r="D16"/>
  <c r="R15"/>
  <c r="T15" s="1"/>
  <c r="D15"/>
  <c r="R14"/>
  <c r="T14" s="1"/>
  <c r="D14"/>
  <c r="T13"/>
  <c r="S13" s="1"/>
  <c r="R13"/>
  <c r="N13"/>
  <c r="D13"/>
  <c r="T12"/>
  <c r="R12"/>
  <c r="N12"/>
  <c r="E12"/>
  <c r="D12"/>
  <c r="T11"/>
  <c r="R11"/>
  <c r="D11"/>
  <c r="R10"/>
  <c r="O10"/>
  <c r="D10"/>
  <c r="R9"/>
  <c r="T9" s="1"/>
  <c r="D9"/>
  <c r="R8"/>
  <c r="D8"/>
  <c r="T8" s="1"/>
  <c r="R7"/>
  <c r="T7" s="1"/>
  <c r="D7"/>
  <c r="R6"/>
  <c r="T6" s="1"/>
  <c r="D6"/>
  <c r="R5"/>
  <c r="D5"/>
  <c r="P3" i="20" l="1"/>
  <c r="J12" i="1"/>
  <c r="J13" s="1"/>
  <c r="J4"/>
  <c r="R22"/>
  <c r="D39"/>
  <c r="T22"/>
  <c r="T18"/>
  <c r="R18"/>
  <c r="N11" s="1"/>
  <c r="N10"/>
  <c r="R32"/>
  <c r="P10"/>
  <c r="T10"/>
  <c r="S10" s="1"/>
  <c r="P29"/>
  <c r="O14" i="2"/>
  <c r="O6" i="1"/>
  <c r="N3" s="1"/>
  <c r="O37"/>
  <c r="P37" s="1"/>
  <c r="O36"/>
  <c r="O35"/>
  <c r="O34"/>
  <c r="N4" i="2"/>
  <c r="O17"/>
  <c r="O22" s="1"/>
  <c r="L39" i="5"/>
  <c r="M38"/>
  <c r="K4" i="8"/>
  <c r="G12"/>
  <c r="G13" i="11"/>
  <c r="K4"/>
  <c r="G9" i="19"/>
  <c r="K4"/>
  <c r="O3" i="1"/>
  <c r="P3" s="1"/>
  <c r="T5"/>
  <c r="O19"/>
  <c r="P19" s="1"/>
  <c r="O21"/>
  <c r="P21" s="1"/>
  <c r="O26"/>
  <c r="O27"/>
  <c r="O28"/>
  <c r="N34"/>
  <c r="N35"/>
  <c r="N36"/>
  <c r="D38"/>
  <c r="T21" s="1"/>
  <c r="N26" i="2"/>
  <c r="O26" s="1"/>
  <c r="O30" s="1"/>
  <c r="N27"/>
  <c r="O27" s="1"/>
  <c r="D30"/>
  <c r="T21" s="1"/>
  <c r="S21" s="1"/>
  <c r="B31"/>
  <c r="N35"/>
  <c r="O35" s="1"/>
  <c r="O38" s="1"/>
  <c r="N36"/>
  <c r="O36" s="1"/>
  <c r="N43"/>
  <c r="O43" s="1"/>
  <c r="N50"/>
  <c r="O50" s="1"/>
  <c r="O54" s="1"/>
  <c r="N52"/>
  <c r="O52" s="1"/>
  <c r="N66"/>
  <c r="O66" s="1"/>
  <c r="O70" s="1"/>
  <c r="N68"/>
  <c r="O68" s="1"/>
  <c r="N73"/>
  <c r="M74"/>
  <c r="N75"/>
  <c r="O75" s="1"/>
  <c r="M76"/>
  <c r="O76" s="1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9" i="7"/>
  <c r="P9" i="13"/>
  <c r="P9" i="14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H36" i="5"/>
  <c r="H37"/>
  <c r="G13" i="9"/>
  <c r="K4"/>
  <c r="P18" i="1"/>
  <c r="P23" s="1"/>
  <c r="N26"/>
  <c r="N27"/>
  <c r="N28"/>
  <c r="N42" i="2"/>
  <c r="O42" s="1"/>
  <c r="O46" s="1"/>
  <c r="M73"/>
  <c r="N74"/>
  <c r="O74" s="1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K4" i="4"/>
  <c r="I36" i="5"/>
  <c r="K36" s="1"/>
  <c r="I37"/>
  <c r="K37" s="1"/>
  <c r="O17" i="14"/>
  <c r="O16"/>
  <c r="N9" i="15"/>
  <c r="N7"/>
  <c r="J4"/>
  <c r="K4" s="1"/>
  <c r="O9" i="16"/>
  <c r="O8"/>
  <c r="N9" i="17"/>
  <c r="N7"/>
  <c r="O7" i="24"/>
  <c r="O8"/>
  <c r="P8" s="1"/>
  <c r="O6"/>
  <c r="P6" s="1"/>
  <c r="O17" i="28"/>
  <c r="O16"/>
  <c r="P16" s="1"/>
  <c r="O25"/>
  <c r="O26"/>
  <c r="P26" s="1"/>
  <c r="O24"/>
  <c r="P23"/>
  <c r="P6" i="32"/>
  <c r="N3"/>
  <c r="O3"/>
  <c r="P3" s="1"/>
  <c r="P6" i="4"/>
  <c r="G8"/>
  <c r="M37" i="5"/>
  <c r="S5" i="8"/>
  <c r="T6"/>
  <c r="T13" s="1"/>
  <c r="O6" i="9"/>
  <c r="P6" s="1"/>
  <c r="N6" i="10"/>
  <c r="O7"/>
  <c r="N8"/>
  <c r="N9"/>
  <c r="P9" s="1"/>
  <c r="O7" i="12"/>
  <c r="P7" s="1"/>
  <c r="V7"/>
  <c r="N8"/>
  <c r="N9"/>
  <c r="P9" s="1"/>
  <c r="O14"/>
  <c r="P14" s="1"/>
  <c r="O16"/>
  <c r="P16" s="1"/>
  <c r="O7" i="13"/>
  <c r="O8"/>
  <c r="S5" i="14"/>
  <c r="O8"/>
  <c r="P8" s="1"/>
  <c r="P11" s="1"/>
  <c r="T8"/>
  <c r="T37" s="1"/>
  <c r="O14"/>
  <c r="O15"/>
  <c r="D17"/>
  <c r="K4" s="1"/>
  <c r="P9" i="15"/>
  <c r="P7" i="17"/>
  <c r="P9"/>
  <c r="O8" i="18"/>
  <c r="O9"/>
  <c r="K4" i="24"/>
  <c r="R37" i="14"/>
  <c r="N25"/>
  <c r="N23"/>
  <c r="N15"/>
  <c r="N14"/>
  <c r="N9" i="18"/>
  <c r="N8"/>
  <c r="N6"/>
  <c r="E62" i="5"/>
  <c r="O8" i="8"/>
  <c r="P8" s="1"/>
  <c r="P11" s="1"/>
  <c r="S5" i="9"/>
  <c r="T6"/>
  <c r="T17" s="1"/>
  <c r="O7"/>
  <c r="P7" s="1"/>
  <c r="O8"/>
  <c r="P8" s="1"/>
  <c r="U5" i="10"/>
  <c r="O6"/>
  <c r="P6" s="1"/>
  <c r="N7"/>
  <c r="O8"/>
  <c r="P8" s="1"/>
  <c r="O6" i="11"/>
  <c r="P6" s="1"/>
  <c r="P12" s="1"/>
  <c r="U5" i="12"/>
  <c r="O6"/>
  <c r="P6" s="1"/>
  <c r="O8"/>
  <c r="P8" s="1"/>
  <c r="O15"/>
  <c r="P15" s="1"/>
  <c r="N6" i="13"/>
  <c r="P6" s="1"/>
  <c r="N7"/>
  <c r="N8"/>
  <c r="T9" i="14"/>
  <c r="N16"/>
  <c r="N17"/>
  <c r="N22"/>
  <c r="P7" i="15"/>
  <c r="O7" i="16"/>
  <c r="S7"/>
  <c r="B14"/>
  <c r="G12" i="17"/>
  <c r="N6"/>
  <c r="P6" s="1"/>
  <c r="N8"/>
  <c r="P8" s="1"/>
  <c r="O6" i="18"/>
  <c r="P6" s="1"/>
  <c r="T21" i="20"/>
  <c r="P9" i="21"/>
  <c r="G37" i="23"/>
  <c r="K4" i="26"/>
  <c r="K4" i="27"/>
  <c r="G40" i="28"/>
  <c r="O6" i="15"/>
  <c r="P6" s="1"/>
  <c r="P11" s="1"/>
  <c r="O6" i="19"/>
  <c r="P6" s="1"/>
  <c r="O8"/>
  <c r="P8" s="1"/>
  <c r="J4" i="20"/>
  <c r="K4" s="1"/>
  <c r="S5"/>
  <c r="C7"/>
  <c r="N7"/>
  <c r="P7" s="1"/>
  <c r="N8"/>
  <c r="P8" s="1"/>
  <c r="O6" i="21"/>
  <c r="T6"/>
  <c r="S6" s="1"/>
  <c r="N7"/>
  <c r="O8"/>
  <c r="C7" i="22"/>
  <c r="T5" i="23"/>
  <c r="T37" s="1"/>
  <c r="C9"/>
  <c r="O6" s="1"/>
  <c r="P6" s="1"/>
  <c r="O9"/>
  <c r="R9"/>
  <c r="S9" s="1"/>
  <c r="R24"/>
  <c r="R25"/>
  <c r="C35"/>
  <c r="N9" s="1"/>
  <c r="N7" i="24"/>
  <c r="O14"/>
  <c r="P14" s="1"/>
  <c r="O16"/>
  <c r="P16" s="1"/>
  <c r="O17"/>
  <c r="P17" s="1"/>
  <c r="N6" i="25"/>
  <c r="O7"/>
  <c r="P7" s="1"/>
  <c r="N8"/>
  <c r="S5" i="26"/>
  <c r="O6"/>
  <c r="P6" s="1"/>
  <c r="O7"/>
  <c r="P7" s="1"/>
  <c r="O8"/>
  <c r="P8" s="1"/>
  <c r="O14"/>
  <c r="P14" s="1"/>
  <c r="O15"/>
  <c r="P15" s="1"/>
  <c r="O16"/>
  <c r="P16" s="1"/>
  <c r="O6" i="27"/>
  <c r="P6" s="1"/>
  <c r="P11" s="1"/>
  <c r="O3" i="28"/>
  <c r="R5"/>
  <c r="C6"/>
  <c r="N9"/>
  <c r="P9" s="1"/>
  <c r="P11" s="1"/>
  <c r="N15"/>
  <c r="N3" s="1"/>
  <c r="N17"/>
  <c r="N25"/>
  <c r="O6" i="29"/>
  <c r="P6" s="1"/>
  <c r="O7"/>
  <c r="P7" s="1"/>
  <c r="O8"/>
  <c r="P8" s="1"/>
  <c r="O7" i="30"/>
  <c r="P7" s="1"/>
  <c r="T5" i="31"/>
  <c r="O6"/>
  <c r="O9"/>
  <c r="P9" s="1"/>
  <c r="S5" i="32"/>
  <c r="T5" s="1"/>
  <c r="T36" s="1"/>
  <c r="W36" s="1"/>
  <c r="O8"/>
  <c r="P8" s="1"/>
  <c r="R36"/>
  <c r="O7" i="33"/>
  <c r="P7" s="1"/>
  <c r="O6" i="34"/>
  <c r="P6" s="1"/>
  <c r="O8"/>
  <c r="P8" s="1"/>
  <c r="O9"/>
  <c r="P9" s="1"/>
  <c r="O7" i="21"/>
  <c r="P7" s="1"/>
  <c r="N8"/>
  <c r="T6" i="24"/>
  <c r="T17" s="1"/>
  <c r="O6" i="25"/>
  <c r="P6" s="1"/>
  <c r="P11" s="1"/>
  <c r="O8"/>
  <c r="P8" s="1"/>
  <c r="N24" i="28"/>
  <c r="O6" i="30"/>
  <c r="P6" s="1"/>
  <c r="O8"/>
  <c r="P8" s="1"/>
  <c r="O7" i="31"/>
  <c r="P7" s="1"/>
  <c r="P11" s="1"/>
  <c r="O7" i="32"/>
  <c r="P7" s="1"/>
  <c r="O6" i="33"/>
  <c r="P6" s="1"/>
  <c r="O8"/>
  <c r="P8" s="1"/>
  <c r="O3" i="31" l="1"/>
  <c r="N3"/>
  <c r="N7" i="16"/>
  <c r="N6"/>
  <c r="P6" s="1"/>
  <c r="J4"/>
  <c r="K4" s="1"/>
  <c r="N9"/>
  <c r="N8"/>
  <c r="O24" i="14"/>
  <c r="P24" s="1"/>
  <c r="O22"/>
  <c r="P22" s="1"/>
  <c r="O23"/>
  <c r="P23" s="1"/>
  <c r="O25"/>
  <c r="P25" s="1"/>
  <c r="H41" i="5"/>
  <c r="I41" s="1"/>
  <c r="K41" s="1"/>
  <c r="H38"/>
  <c r="M57" i="2"/>
  <c r="O57" s="1"/>
  <c r="D31"/>
  <c r="T22"/>
  <c r="T20"/>
  <c r="R20"/>
  <c r="R22"/>
  <c r="L41" i="5"/>
  <c r="M41" s="1"/>
  <c r="M39"/>
  <c r="M46" s="1"/>
  <c r="P11" i="34"/>
  <c r="P3" i="28"/>
  <c r="P19" i="26"/>
  <c r="P20" i="24"/>
  <c r="P9" i="23"/>
  <c r="P8" i="21"/>
  <c r="P11" i="17"/>
  <c r="P7" i="16"/>
  <c r="P11" i="12"/>
  <c r="R37" i="23"/>
  <c r="P9" i="18"/>
  <c r="P15" i="14"/>
  <c r="P7" i="13"/>
  <c r="P12" s="1"/>
  <c r="P19" i="12"/>
  <c r="P24" i="28"/>
  <c r="P28" s="1"/>
  <c r="P25"/>
  <c r="P17"/>
  <c r="P8" i="16"/>
  <c r="P17" i="14"/>
  <c r="O73" i="2"/>
  <c r="O78" s="1"/>
  <c r="P28" i="1"/>
  <c r="P26"/>
  <c r="P34"/>
  <c r="P36"/>
  <c r="B37" i="2"/>
  <c r="D42" i="1"/>
  <c r="S5" i="31"/>
  <c r="T18"/>
  <c r="R40" i="28"/>
  <c r="T5"/>
  <c r="T40" s="1"/>
  <c r="W40" s="1"/>
  <c r="P6" i="21"/>
  <c r="P11" s="1"/>
  <c r="O3"/>
  <c r="P3" s="1"/>
  <c r="N3"/>
  <c r="O4" i="2"/>
  <c r="M4"/>
  <c r="P11" i="33"/>
  <c r="P11" i="30"/>
  <c r="P11" i="29"/>
  <c r="P11" i="26"/>
  <c r="P11" i="20"/>
  <c r="P11" i="19"/>
  <c r="G13" i="16"/>
  <c r="P15" i="28"/>
  <c r="P19" s="1"/>
  <c r="T21" i="21"/>
  <c r="P8" i="18"/>
  <c r="P11" s="1"/>
  <c r="P14" i="14"/>
  <c r="P8" i="13"/>
  <c r="P7" i="10"/>
  <c r="P11" s="1"/>
  <c r="P12" i="9"/>
  <c r="P11" i="32"/>
  <c r="P11" i="24"/>
  <c r="P7"/>
  <c r="P9" i="16"/>
  <c r="P16" i="14"/>
  <c r="P27" i="1"/>
  <c r="T32"/>
  <c r="P35"/>
  <c r="P6"/>
  <c r="D37" i="2"/>
  <c r="G36" s="1"/>
  <c r="S18" i="1"/>
  <c r="K14" i="5" l="1"/>
  <c r="I42" i="1"/>
  <c r="G7"/>
  <c r="M58" i="2"/>
  <c r="R36"/>
  <c r="P31" i="1"/>
  <c r="P12" i="16"/>
  <c r="O13" i="1"/>
  <c r="P13" s="1"/>
  <c r="O12"/>
  <c r="P12" s="1"/>
  <c r="O11"/>
  <c r="P11" s="1"/>
  <c r="P15" s="1"/>
  <c r="J7" i="2"/>
  <c r="J8" s="1"/>
  <c r="J4"/>
  <c r="K4" s="1"/>
  <c r="S20"/>
  <c r="T36"/>
  <c r="H39" i="5"/>
  <c r="I39" s="1"/>
  <c r="K39" s="1"/>
  <c r="I38"/>
  <c r="K38" s="1"/>
  <c r="J13" s="1"/>
  <c r="K4" i="1"/>
  <c r="P19" i="14"/>
  <c r="P39" i="1"/>
  <c r="P27" i="14"/>
  <c r="P3" i="31"/>
  <c r="N60" i="2" l="1"/>
  <c r="O60" s="1"/>
  <c r="N58"/>
  <c r="O58" s="1"/>
  <c r="N59"/>
  <c r="O59" s="1"/>
  <c r="O46" i="5"/>
  <c r="P46" s="1"/>
  <c r="J15"/>
  <c r="J16" s="1"/>
  <c r="O62" i="2" l="1"/>
</calcChain>
</file>

<file path=xl/sharedStrings.xml><?xml version="1.0" encoding="utf-8"?>
<sst xmlns="http://schemas.openxmlformats.org/spreadsheetml/2006/main" count="707" uniqueCount="90">
  <si>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</si>
  <si>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</si>
  <si>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</si>
  <si>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</si>
  <si>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</si>
  <si>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</si>
  <si>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</si>
  <si>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</si>
  <si>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</si>
  <si>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</si>
  <si>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</si>
  <si>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</si>
  <si>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</si>
  <si>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</si>
  <si>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</si>
  <si>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</si>
  <si>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</si>
  <si>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</si>
  <si>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</si>
  <si>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</si>
  <si>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</si>
  <si>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</si>
  <si>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</si>
  <si>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</si>
  <si>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</si>
  <si>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</si>
  <si>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</si>
  <si>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</si>
  <si>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</si>
  <si>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</si>
  <si>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</si>
  <si>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</si>
  <si>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</si>
  <si>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</si>
  <si>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</si>
  <si>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</si>
  <si>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</si>
  <si>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</si>
  <si>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</si>
  <si>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</si>
  <si>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</si>
  <si>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</si>
  <si>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</si>
  <si>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</si>
  <si>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</si>
  <si>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</si>
  <si>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</si>
  <si>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</si>
  <si>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</si>
  <si>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</si>
  <si>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</si>
  <si>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</si>
  <si>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</si>
  <si>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</si>
  <si>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</si>
  <si>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</si>
  <si>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</si>
  <si>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</si>
  <si>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</si>
  <si>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</si>
  <si>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</si>
  <si>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</si>
  <si>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</si>
  <si>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</si>
  <si>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</si>
  <si>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</si>
  <si>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</si>
  <si>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</si>
  <si>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</si>
  <si>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</si>
  <si>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</si>
  <si>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</si>
  <si>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</si>
  <si>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</si>
  <si>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</si>
  <si>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</si>
  <si>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</si>
  <si>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</si>
  <si>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</si>
  <si>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</si>
  <si>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</si>
  <si>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</si>
  <si>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</si>
  <si>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</si>
  <si>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</si>
  <si>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</si>
  <si>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</si>
  <si>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</si>
  <si>
    <t>DCA1 2/5</t>
  </si>
  <si>
    <t>Ph 3/5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</si>
</sst>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9196928"/>
        <c:axId val="79198848"/>
      </c:lineChart>
      <c:dateAx>
        <c:axId val="79196928"/>
        <c:scaling>
          <c:orientation val="minMax"/>
        </c:scaling>
        <c:axPos val="b"/>
        <c:numFmt formatCode="dd/mm/yy;@" sourceLinked="1"/>
        <c:majorTickMark val="none"/>
        <c:tickLblPos val="nextTo"/>
        <c:crossAx val="79198848"/>
        <c:crosses val="autoZero"/>
        <c:lblOffset val="100"/>
      </c:dateAx>
      <c:valAx>
        <c:axId val="7919884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91969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13" sqref="B13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1775.148502676301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932.9019227916184</v>
      </c>
      <c r="K4" s="4">
        <f>(J4/D42-1)</f>
        <v>-0.35244775410409113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2741.3208956141093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5.7892300000000002E-3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3.7086220000000003E-2</v>
      </c>
      <c r="O11" s="39">
        <f>($S$18*Params!K16)</f>
        <v>3287.164796823532</v>
      </c>
      <c r="P11" s="23">
        <f>(O11*N11)</f>
        <v>121.90851683125283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5.7892300000000002E-3</v>
      </c>
      <c r="C12" s="40">
        <v>0</v>
      </c>
      <c r="D12" s="26">
        <f t="shared" si="0"/>
        <v>0</v>
      </c>
      <c r="E12" s="38">
        <f>(B12*J3)</f>
        <v>10.276742966148722</v>
      </c>
      <c r="I12" t="s">
        <v>13</v>
      </c>
      <c r="J12">
        <f>(J11-B42)</f>
        <v>7.4465420000000115E-2</v>
      </c>
      <c r="N12">
        <f>($B$35/5)</f>
        <v>2.086561E-2</v>
      </c>
      <c r="O12" s="39">
        <f>($S$18*Params!K17)</f>
        <v>6574.329593647064</v>
      </c>
      <c r="P12" s="23">
        <f>(O12*N12)</f>
        <v>137.1773973124981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132.18717881416208</v>
      </c>
      <c r="N13">
        <f>($B$35/5)</f>
        <v>2.086561E-2</v>
      </c>
      <c r="O13" s="39">
        <f>($S$18*Params!K18)</f>
        <v>13148.659187294128</v>
      </c>
      <c r="P13" s="23">
        <f>(O13*N13)</f>
        <v>274.3547946249962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540.89593376874711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9.9683050000000009E-2</v>
      </c>
      <c r="S18" s="39">
        <f>(T18/R18)</f>
        <v>1643.582398411766</v>
      </c>
      <c r="T18" s="23">
        <f>(D35+1283.68*B39)</f>
        <v>163.83730640000002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7.8251959999999995E-3</v>
      </c>
      <c r="O19" s="39">
        <f>($S$19*Params!K16)</f>
        <v>3375.7516188994546</v>
      </c>
      <c r="P19" s="23">
        <f>(O19*N19)</f>
        <v>26.415918065205535</v>
      </c>
      <c r="R19" s="24">
        <f>(B36+B38)</f>
        <v>2.0620489999999998E-2</v>
      </c>
      <c r="S19" s="39">
        <f>(T19/R19)</f>
        <v>1687.8758094497273</v>
      </c>
      <c r="T19" s="23">
        <f>(D36+1269.75*B38)</f>
        <v>34.804826250000005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4.2650980000000002E-3</v>
      </c>
      <c r="O20" s="39">
        <f>($S$19*Params!K17)</f>
        <v>6751.5032377989091</v>
      </c>
      <c r="P20" s="23">
        <f>(O20*N20)</f>
        <v>28.795822956529651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4.2650980000000002E-3</v>
      </c>
      <c r="O21" s="39">
        <f>($S$19*Params!K18)</f>
        <v>13503.006475597818</v>
      </c>
      <c r="P21" s="23">
        <f>(O21*N21)</f>
        <v>57.591645913059303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113.93491193479448</v>
      </c>
      <c r="R23" s="24">
        <f>(B40)</f>
        <v>4.667524E-2</v>
      </c>
      <c r="S23" s="39">
        <f>(T23/R23)</f>
        <v>1820.0227786723754</v>
      </c>
      <c r="T23" s="23">
        <f>(D40)</f>
        <v>84.95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0.52553457999999997</v>
      </c>
      <c r="T32" s="23">
        <f>(SUM(T5:T31))</f>
        <v>1440.6589255217841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9.3350480000000003E-3</v>
      </c>
      <c r="O34" s="39">
        <f>($S$23*Params!K15)</f>
        <v>2730.034168008563</v>
      </c>
      <c r="P34" s="23">
        <f>(O34*N34)</f>
        <v>25.484999999999999</v>
      </c>
    </row>
    <row r="35" spans="2:16">
      <c r="B35" s="24">
        <v>0.10432805000000001</v>
      </c>
      <c r="C35" s="39">
        <f>(D35/B35)</f>
        <v>1627.5584562349243</v>
      </c>
      <c r="D35" s="23">
        <v>169.8</v>
      </c>
      <c r="E35" t="s">
        <v>10</v>
      </c>
      <c r="N35">
        <f>($R$23/5)</f>
        <v>9.3350480000000003E-3</v>
      </c>
      <c r="O35" s="39">
        <f>($S$23*Params!K16)</f>
        <v>3640.0455573447507</v>
      </c>
      <c r="P35" s="23">
        <f>(O35*N35)</f>
        <v>33.980000000000004</v>
      </c>
    </row>
    <row r="36" spans="2:16">
      <c r="B36" s="24">
        <v>2.1325489999999999E-2</v>
      </c>
      <c r="C36" s="39">
        <f>(D36/B36)</f>
        <v>1674.0529760394722</v>
      </c>
      <c r="D36" s="23">
        <v>35.700000000000003</v>
      </c>
      <c r="E36" t="s">
        <v>15</v>
      </c>
      <c r="N36">
        <f>($R$23/5)</f>
        <v>9.3350480000000003E-3</v>
      </c>
      <c r="O36" s="39">
        <f>($S$23*Params!K17)</f>
        <v>7280.0911146895014</v>
      </c>
      <c r="P36" s="23">
        <f>(O36*N36)</f>
        <v>67.960000000000008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9.3350480000000003E-3</v>
      </c>
      <c r="O37" s="39">
        <f>($S$23*Params!K18)</f>
        <v>14560.182229379003</v>
      </c>
      <c r="P37" s="23">
        <f>(O37*N37)</f>
        <v>135.92000000000002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263.34500000000003</v>
      </c>
    </row>
    <row r="40" spans="2:16">
      <c r="B40" s="24">
        <v>4.667524E-2</v>
      </c>
      <c r="C40" s="39">
        <f>(D40/B40)</f>
        <v>1820.0227786723754</v>
      </c>
      <c r="D40" s="23">
        <v>84.95</v>
      </c>
      <c r="E40" t="s">
        <v>18</v>
      </c>
    </row>
    <row r="42" spans="2:16">
      <c r="B42">
        <f>(SUM(B5:B41))</f>
        <v>0.52553457999999986</v>
      </c>
      <c r="D42" s="23">
        <f>(SUM(D5:D41))</f>
        <v>1440.6589255217843</v>
      </c>
      <c r="H42" t="s">
        <v>9</v>
      </c>
      <c r="I42" s="39">
        <f>D42/B42</f>
        <v>2741.3208956141093</v>
      </c>
    </row>
  </sheetData>
  <conditionalFormatting sqref="C5:C7 C11 C18:C24">
    <cfRule type="cellIs" dxfId="309" priority="37" operator="lessThan">
      <formula>$J$3</formula>
    </cfRule>
    <cfRule type="cellIs" dxfId="308" priority="38" operator="greaterThan">
      <formula>$J$3</formula>
    </cfRule>
  </conditionalFormatting>
  <conditionalFormatting sqref="C25">
    <cfRule type="cellIs" dxfId="307" priority="35" operator="lessThan">
      <formula>$J$3</formula>
    </cfRule>
    <cfRule type="cellIs" dxfId="306" priority="36" operator="greaterThan">
      <formula>$J$3</formula>
    </cfRule>
  </conditionalFormatting>
  <conditionalFormatting sqref="C27">
    <cfRule type="cellIs" dxfId="305" priority="33" operator="lessThan">
      <formula>$J$3</formula>
    </cfRule>
    <cfRule type="cellIs" dxfId="304" priority="34" operator="greaterThan">
      <formula>$J$3</formula>
    </cfRule>
  </conditionalFormatting>
  <conditionalFormatting sqref="C29">
    <cfRule type="cellIs" dxfId="303" priority="31" operator="lessThan">
      <formula>$J$3</formula>
    </cfRule>
    <cfRule type="cellIs" dxfId="302" priority="32" operator="greaterThan">
      <formula>$J$3</formula>
    </cfRule>
  </conditionalFormatting>
  <conditionalFormatting sqref="C31">
    <cfRule type="cellIs" dxfId="301" priority="29" operator="lessThan">
      <formula>$J$3</formula>
    </cfRule>
    <cfRule type="cellIs" dxfId="300" priority="30" operator="greaterThan">
      <formula>$J$3</formula>
    </cfRule>
  </conditionalFormatting>
  <conditionalFormatting sqref="C33">
    <cfRule type="cellIs" dxfId="299" priority="27" operator="lessThan">
      <formula>$J$3</formula>
    </cfRule>
    <cfRule type="cellIs" dxfId="298" priority="28" operator="greaterThan">
      <formula>$J$3</formula>
    </cfRule>
  </conditionalFormatting>
  <conditionalFormatting sqref="C35:C37">
    <cfRule type="cellIs" dxfId="297" priority="25" operator="lessThan">
      <formula>$J$3</formula>
    </cfRule>
    <cfRule type="cellIs" dxfId="296" priority="26" operator="greaterThan">
      <formula>$J$3</formula>
    </cfRule>
  </conditionalFormatting>
  <conditionalFormatting sqref="C40">
    <cfRule type="cellIs" dxfId="295" priority="23" operator="lessThan">
      <formula>$J$3</formula>
    </cfRule>
    <cfRule type="cellIs" dxfId="294" priority="24" operator="greaterThan">
      <formula>$J$3</formula>
    </cfRule>
  </conditionalFormatting>
  <conditionalFormatting sqref="I42">
    <cfRule type="cellIs" dxfId="293" priority="21" operator="lessThan">
      <formula>$J$3</formula>
    </cfRule>
    <cfRule type="cellIs" dxfId="292" priority="22" operator="greaterThan">
      <formula>$J$3</formula>
    </cfRule>
  </conditionalFormatting>
  <conditionalFormatting sqref="O11:O13">
    <cfRule type="cellIs" dxfId="291" priority="19" operator="lessThan">
      <formula>$J$3</formula>
    </cfRule>
    <cfRule type="cellIs" dxfId="290" priority="20" operator="greaterThan">
      <formula>$J$3</formula>
    </cfRule>
  </conditionalFormatting>
  <conditionalFormatting sqref="O19:O21">
    <cfRule type="cellIs" dxfId="289" priority="17" operator="lessThan">
      <formula>$J$3</formula>
    </cfRule>
    <cfRule type="cellIs" dxfId="288" priority="18" operator="greaterThan">
      <formula>$J$3</formula>
    </cfRule>
  </conditionalFormatting>
  <conditionalFormatting sqref="O26:O29">
    <cfRule type="cellIs" dxfId="287" priority="15" operator="lessThan">
      <formula>$J$3</formula>
    </cfRule>
    <cfRule type="cellIs" dxfId="286" priority="16" operator="greaterThan">
      <formula>$J$3</formula>
    </cfRule>
  </conditionalFormatting>
  <conditionalFormatting sqref="O34:O37">
    <cfRule type="cellIs" dxfId="285" priority="13" operator="lessThan">
      <formula>$J$3</formula>
    </cfRule>
    <cfRule type="cellIs" dxfId="284" priority="14" operator="greaterThan">
      <formula>$J$3</formula>
    </cfRule>
  </conditionalFormatting>
  <conditionalFormatting sqref="N6">
    <cfRule type="cellIs" dxfId="283" priority="11" operator="lessThan">
      <formula>$J$3</formula>
    </cfRule>
    <cfRule type="cellIs" dxfId="282" priority="12" operator="greaterThan">
      <formula>$J$3</formula>
    </cfRule>
  </conditionalFormatting>
  <conditionalFormatting sqref="O3">
    <cfRule type="cellIs" dxfId="281" priority="9" operator="greaterThan">
      <formula>$J$3</formula>
    </cfRule>
    <cfRule type="cellIs" dxfId="280" priority="10" operator="lessThan">
      <formula>$J$3</formula>
    </cfRule>
  </conditionalFormatting>
  <conditionalFormatting sqref="S5:S7">
    <cfRule type="cellIs" dxfId="279" priority="7" operator="lessThan">
      <formula>$J$3</formula>
    </cfRule>
    <cfRule type="cellIs" dxfId="278" priority="8" operator="greaterThan">
      <formula>$J$3</formula>
    </cfRule>
  </conditionalFormatting>
  <conditionalFormatting sqref="S10:S15">
    <cfRule type="cellIs" dxfId="277" priority="5" operator="lessThan">
      <formula>$J$3</formula>
    </cfRule>
    <cfRule type="cellIs" dxfId="276" priority="6" operator="greaterThan">
      <formula>$J$3</formula>
    </cfRule>
  </conditionalFormatting>
  <conditionalFormatting sqref="S18:S20">
    <cfRule type="cellIs" dxfId="275" priority="3" operator="lessThan">
      <formula>$J$3</formula>
    </cfRule>
    <cfRule type="cellIs" dxfId="274" priority="4" operator="greaterThan">
      <formula>$J$3</formula>
    </cfRule>
  </conditionalFormatting>
  <conditionalFormatting sqref="S23">
    <cfRule type="cellIs" dxfId="273" priority="1" operator="lessThan">
      <formula>$J$3</formula>
    </cfRule>
    <cfRule type="cellIs" dxfId="272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1.214264492858661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13.537212483900689</v>
      </c>
      <c r="K4" s="4">
        <f>(J4/D14-1)</f>
        <v>-0.61878194935353092</v>
      </c>
      <c r="R4" t="s">
        <v>5</v>
      </c>
      <c r="S4" t="s">
        <v>6</v>
      </c>
      <c r="T4" t="s">
        <v>7</v>
      </c>
    </row>
    <row r="5" spans="2:21">
      <c r="B5" s="29">
        <v>10.53199674</v>
      </c>
      <c r="C5" s="38">
        <f>(D5/B5)</f>
        <v>3.3896706276420669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0.55054899000000002</v>
      </c>
      <c r="S5" s="40">
        <v>0</v>
      </c>
      <c r="T5" s="26">
        <f>(D6)</f>
        <v>0</v>
      </c>
      <c r="U5" s="38">
        <f>(R5*J3)</f>
        <v>0.66851209013619806</v>
      </c>
    </row>
    <row r="6" spans="2:21">
      <c r="B6" s="36">
        <v>0.55054899000000002</v>
      </c>
      <c r="C6" s="40">
        <v>0</v>
      </c>
      <c r="D6" s="26">
        <f>(B6*C6)</f>
        <v>0</v>
      </c>
      <c r="E6" s="38">
        <f>(B6*J3)</f>
        <v>0.66851209013619806</v>
      </c>
      <c r="M6" t="s">
        <v>11</v>
      </c>
      <c r="N6" s="29">
        <f>(SUM(R5:R7)/5)</f>
        <v>2.2296974939999998</v>
      </c>
      <c r="O6" s="38">
        <f>($C$5*Params!K8)</f>
        <v>4.4065718159346874</v>
      </c>
      <c r="P6" s="38">
        <f>(O6*N6)</f>
        <v>9.8253221351206008</v>
      </c>
      <c r="R6" s="29">
        <f>(B5)</f>
        <v>10.53199674</v>
      </c>
      <c r="S6" s="38">
        <f>(T6/R6)</f>
        <v>3.3896706276420669</v>
      </c>
      <c r="T6" s="38">
        <f>(D5)</f>
        <v>35.700000000000003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2.2296974939999998</v>
      </c>
      <c r="O7" s="38">
        <f>($C$5*Params!K9)</f>
        <v>5.4234730042273078</v>
      </c>
      <c r="P7" s="38">
        <f>(O7*N7)</f>
        <v>12.092704166302278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0.26965230347931762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2.2296974939999998</v>
      </c>
      <c r="O8" s="38">
        <f>($C$5*Params!K10)</f>
        <v>7.4572753808125478</v>
      </c>
      <c r="P8" s="38">
        <f>(O8*N8)</f>
        <v>16.627468228665631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2.2296974939999998</v>
      </c>
      <c r="O9" s="38">
        <f>($C$5*Params!K11)</f>
        <v>13.558682510568268</v>
      </c>
      <c r="P9" s="38">
        <f>(O9*N9)</f>
        <v>30.231760415755694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68.777254945844192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3.1852229735698852</v>
      </c>
    </row>
    <row r="14" spans="2:21">
      <c r="B14" s="29">
        <f>(SUM(B5:B13))</f>
        <v>11.148487470000001</v>
      </c>
      <c r="D14" s="38">
        <f>(SUM(D5:D13))</f>
        <v>35.510418410000007</v>
      </c>
      <c r="R14" s="29">
        <f>(SUM(R5:R13))</f>
        <v>11.148487469999999</v>
      </c>
      <c r="T14" s="38">
        <f>(SUM(T5:T13))</f>
        <v>35.51041841</v>
      </c>
    </row>
    <row r="22" spans="4:4">
      <c r="D22" s="29"/>
    </row>
  </sheetData>
  <conditionalFormatting sqref="C5 C7:C12">
    <cfRule type="cellIs" dxfId="227" priority="7" operator="lessThan">
      <formula>$J$3</formula>
    </cfRule>
    <cfRule type="cellIs" dxfId="226" priority="8" operator="greaterThan">
      <formula>$J$3</formula>
    </cfRule>
  </conditionalFormatting>
  <conditionalFormatting sqref="O6:O9">
    <cfRule type="cellIs" dxfId="225" priority="5" operator="lessThan">
      <formula>$J$3</formula>
    </cfRule>
    <cfRule type="cellIs" dxfId="224" priority="6" operator="greaterThan">
      <formula>$J$3</formula>
    </cfRule>
  </conditionalFormatting>
  <conditionalFormatting sqref="S6:S7">
    <cfRule type="cellIs" dxfId="223" priority="3" operator="lessThan">
      <formula>$J$3</formula>
    </cfRule>
    <cfRule type="cellIs" dxfId="222" priority="4" operator="greaterThan">
      <formula>$J$3</formula>
    </cfRule>
  </conditionalFormatting>
  <conditionalFormatting sqref="G13">
    <cfRule type="cellIs" dxfId="221" priority="1" operator="lessThan">
      <formula>$J$3</formula>
    </cfRule>
    <cfRule type="cellIs" dxfId="22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6.9290023377291776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8.4479029812407802</v>
      </c>
      <c r="K4" s="4">
        <f>(J4/D14-1)</f>
        <v>-0.22709030363762306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0.60930923460071662</v>
      </c>
      <c r="M6" t="s">
        <v>11</v>
      </c>
      <c r="N6" s="1">
        <f>(SUM($B$5:$B$7)/5)</f>
        <v>0.24384182800000001</v>
      </c>
      <c r="O6" s="38">
        <f>($C$5*Params!K8)</f>
        <v>12.800900900900901</v>
      </c>
      <c r="P6" s="38">
        <f>(O6*N6)</f>
        <v>3.1213950757225226</v>
      </c>
    </row>
    <row r="7" spans="2:16">
      <c r="B7" s="36">
        <v>2.1273070000000002E-2</v>
      </c>
      <c r="C7" s="40">
        <v>0</v>
      </c>
      <c r="D7" s="26">
        <f>(C7*B7)</f>
        <v>0</v>
      </c>
      <c r="E7" s="38">
        <f>(B7*J4)</f>
        <v>0.17971283147314382</v>
      </c>
      <c r="N7" s="1">
        <f>(SUM($B$5:$B$7)/5)</f>
        <v>0.24384182800000001</v>
      </c>
      <c r="O7" s="38">
        <f>($C$5*Params!K9)</f>
        <v>15.754954954954954</v>
      </c>
      <c r="P7" s="38">
        <f>(O7*N7)</f>
        <v>3.8417170162738739</v>
      </c>
    </row>
    <row r="8" spans="2:16">
      <c r="N8" s="1">
        <f>(SUM($B$5:$B$7)/5)</f>
        <v>0.24384182800000001</v>
      </c>
      <c r="O8" s="38">
        <f>($C$5*Params!K10)</f>
        <v>21.663063063063063</v>
      </c>
      <c r="P8" s="38">
        <f>(O8*N8)</f>
        <v>5.2823608973765772</v>
      </c>
    </row>
    <row r="9" spans="2:16">
      <c r="N9" s="1">
        <f>(SUM($B$5:$B$7)/5)</f>
        <v>0.24384182800000001</v>
      </c>
      <c r="O9" s="38">
        <f>($C$5*Params!K11)</f>
        <v>39.387387387387385</v>
      </c>
      <c r="P9" s="38">
        <f>(O9*N9)</f>
        <v>9.6042925406846837</v>
      </c>
    </row>
    <row r="12" spans="2:16">
      <c r="P12" s="38">
        <f>(SUM(P6:P9))</f>
        <v>21.84976553005766</v>
      </c>
    </row>
    <row r="13" spans="2:16">
      <c r="F13" t="s">
        <v>9</v>
      </c>
      <c r="G13" s="38">
        <f>(D14/B14)</f>
        <v>8.9648278063269764</v>
      </c>
    </row>
    <row r="14" spans="2:16">
      <c r="B14" s="19">
        <f>(SUM(B5:B13))</f>
        <v>1.21920914</v>
      </c>
      <c r="D14" s="38">
        <f>(SUM(D5:D13))</f>
        <v>10.93</v>
      </c>
    </row>
  </sheetData>
  <conditionalFormatting sqref="C5">
    <cfRule type="cellIs" dxfId="219" priority="5" operator="lessThan">
      <formula>$J$3</formula>
    </cfRule>
    <cfRule type="cellIs" dxfId="218" priority="6" operator="greaterThan">
      <formula>$J$3</formula>
    </cfRule>
  </conditionalFormatting>
  <conditionalFormatting sqref="O6:O9">
    <cfRule type="cellIs" dxfId="217" priority="3" operator="lessThan">
      <formula>$J$3</formula>
    </cfRule>
    <cfRule type="cellIs" dxfId="216" priority="4" operator="greaterThan">
      <formula>$J$3</formula>
    </cfRule>
  </conditionalFormatting>
  <conditionalFormatting sqref="G13">
    <cfRule type="cellIs" dxfId="215" priority="1" operator="lessThan">
      <formula>$J$3</formula>
    </cfRule>
    <cfRule type="cellIs" dxfId="21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10" sqref="B10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10.2290570066715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30.630421030066049</v>
      </c>
      <c r="K4" s="4">
        <f>(J4/D13-1)</f>
        <v>-0.31393217172427923</v>
      </c>
      <c r="R4" t="s">
        <v>5</v>
      </c>
      <c r="S4" t="s">
        <v>6</v>
      </c>
      <c r="T4" t="s">
        <v>7</v>
      </c>
    </row>
    <row r="5" spans="2:22">
      <c r="B5" s="24">
        <v>2.32561106</v>
      </c>
      <c r="C5" s="38">
        <f>(D5/B5)</f>
        <v>15.350804188211937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1.436633E-2</v>
      </c>
      <c r="S5" s="40">
        <v>0</v>
      </c>
      <c r="T5" s="26">
        <f>(D6)</f>
        <v>0</v>
      </c>
      <c r="U5" s="38">
        <f>(R5*J3)</f>
        <v>0.14695400854665497</v>
      </c>
    </row>
    <row r="6" spans="2:22">
      <c r="B6" s="25">
        <v>1.436633E-2</v>
      </c>
      <c r="C6" s="40">
        <v>0</v>
      </c>
      <c r="D6" s="26">
        <f>(B6*C6)</f>
        <v>0</v>
      </c>
      <c r="E6" s="38">
        <f>(B6*J3)</f>
        <v>0.14695400854665497</v>
      </c>
      <c r="M6" t="s">
        <v>11</v>
      </c>
      <c r="N6" s="24">
        <f>($B$5+$R$7)/5</f>
        <v>0.47158162800000003</v>
      </c>
      <c r="O6" s="38">
        <f>($C$5*Params!K8)</f>
        <v>19.956045444675517</v>
      </c>
      <c r="P6" s="38">
        <f>(O6*N6)</f>
        <v>9.4109043992420656</v>
      </c>
      <c r="R6" s="24">
        <f>B5</f>
        <v>2.32561106</v>
      </c>
      <c r="S6" s="38">
        <f>(T6/R6)</f>
        <v>15.350804188211937</v>
      </c>
      <c r="T6" s="38">
        <f>D5</f>
        <v>35.700000000000003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0.47158162800000003</v>
      </c>
      <c r="O7" s="38">
        <f>($C$5*Params!K9)</f>
        <v>24.5612867011391</v>
      </c>
      <c r="P7" s="38">
        <f>(O7*N7)</f>
        <v>11.582651568297926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0.5340235624690296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0.47158162800000003</v>
      </c>
      <c r="O8" s="38">
        <f>($C$5*Params!K10)</f>
        <v>33.771769214066261</v>
      </c>
      <c r="P8" s="38">
        <f>(O8*N8)</f>
        <v>15.92614590640965</v>
      </c>
      <c r="R8" s="24">
        <f>(B10)</f>
        <v>0.62217761000000005</v>
      </c>
      <c r="S8" s="38">
        <f>(T8/R8)</f>
        <v>14.706411566304997</v>
      </c>
      <c r="T8" s="38">
        <f>(D10)</f>
        <v>9.15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0.47158162800000003</v>
      </c>
      <c r="O9" s="38">
        <f>($C$5*Params!K11)</f>
        <v>61.403216752847747</v>
      </c>
      <c r="P9" s="38">
        <f>(O9*N9)</f>
        <v>28.956628920744816</v>
      </c>
    </row>
    <row r="10" spans="2:22">
      <c r="B10" s="24">
        <v>0.62217761000000005</v>
      </c>
      <c r="C10" s="38">
        <f>(D10/B10)</f>
        <v>14.706411566304997</v>
      </c>
      <c r="D10" s="38">
        <v>9.15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65.876330794694454</v>
      </c>
    </row>
    <row r="12" spans="2:22">
      <c r="F12" t="s">
        <v>9</v>
      </c>
      <c r="G12" s="38">
        <f>(D13/B13)</f>
        <v>14.909687621382808</v>
      </c>
    </row>
    <row r="13" spans="2:22">
      <c r="B13" s="24">
        <f>(SUM(B5:B12))</f>
        <v>2.9944520800000003</v>
      </c>
      <c r="D13" s="38">
        <f>(SUM(D5:D12))</f>
        <v>44.646345110000006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2.9944520800000003</v>
      </c>
      <c r="T13" s="38">
        <f>(SUM(T5:T12))</f>
        <v>44.646345109999999</v>
      </c>
    </row>
    <row r="14" spans="2:22">
      <c r="M14" t="s">
        <v>11</v>
      </c>
      <c r="N14" s="24">
        <f>($B$10)/5</f>
        <v>0.12443552200000001</v>
      </c>
      <c r="O14" s="38">
        <f>($C$10*Params!K8)</f>
        <v>19.118335036196495</v>
      </c>
      <c r="P14" s="38">
        <f>(O14*N14)</f>
        <v>2.379</v>
      </c>
    </row>
    <row r="15" spans="2:22">
      <c r="N15" s="24">
        <f>($B$10)/5</f>
        <v>0.12443552200000001</v>
      </c>
      <c r="O15" s="38">
        <f>($C$10*Params!K9)</f>
        <v>23.530258506087996</v>
      </c>
      <c r="P15" s="38">
        <f>(O15*N15)</f>
        <v>2.9279999999999999</v>
      </c>
    </row>
    <row r="16" spans="2:22">
      <c r="N16" s="24">
        <f>($B$10)/5</f>
        <v>0.12443552200000001</v>
      </c>
      <c r="O16" s="38">
        <f>($C$10*Params!K10)</f>
        <v>32.354105445870992</v>
      </c>
      <c r="P16" s="38">
        <f>(O16*N16)</f>
        <v>4.0259999999999998</v>
      </c>
    </row>
    <row r="17" spans="14:16">
      <c r="N17" s="24">
        <f>($B$10)/5</f>
        <v>0.12443552200000001</v>
      </c>
      <c r="O17" s="38">
        <f>($C$10*Params!K11)</f>
        <v>58.825646265219987</v>
      </c>
      <c r="P17" s="38">
        <f>(O17*N17)</f>
        <v>7.32</v>
      </c>
    </row>
    <row r="19" spans="14:16">
      <c r="P19" s="38">
        <f>(SUM(P14:P17))</f>
        <v>16.652999999999999</v>
      </c>
    </row>
  </sheetData>
  <conditionalFormatting sqref="C5 C9:C11 G12 O6:O9 O14:O17 S6">
    <cfRule type="cellIs" dxfId="213" priority="17" operator="lessThan">
      <formula>$J$3</formula>
    </cfRule>
    <cfRule type="cellIs" dxfId="212" priority="18" operator="greaterThan">
      <formula>$J$3</formula>
    </cfRule>
  </conditionalFormatting>
  <conditionalFormatting sqref="S8">
    <cfRule type="cellIs" dxfId="211" priority="11" operator="lessThan">
      <formula>$J$3</formula>
    </cfRule>
    <cfRule type="cellIs" dxfId="21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1.5388040757878391E-3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1.4699983576555946</v>
      </c>
      <c r="K4" s="4">
        <f>(J4/D13-1)</f>
        <v>-0.48096229075409391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209" priority="17" operator="lessThan">
      <formula>$J$3</formula>
    </cfRule>
    <cfRule type="cellIs" dxfId="208" priority="18" operator="greaterThan">
      <formula>$J$3</formula>
    </cfRule>
  </conditionalFormatting>
  <conditionalFormatting sqref="C9:C11">
    <cfRule type="cellIs" dxfId="207" priority="15" operator="lessThan">
      <formula>$J$3</formula>
    </cfRule>
    <cfRule type="cellIs" dxfId="206" priority="16" operator="greaterThan">
      <formula>$J$3</formula>
    </cfRule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O6:O9">
    <cfRule type="cellIs" dxfId="203" priority="11" operator="lessThan">
      <formula>$J$3</formula>
    </cfRule>
    <cfRule type="cellIs" dxfId="202" priority="12" operator="greaterThan">
      <formula>$J$3</formula>
    </cfRule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">
    <cfRule type="cellIs" dxfId="199" priority="7" operator="lessThan">
      <formula>$J$3</formula>
    </cfRule>
    <cfRule type="cellIs" dxfId="198" priority="8" operator="greaterThan">
      <formula>$J$3</formula>
    </cfRule>
    <cfRule type="cellIs" dxfId="197" priority="5" operator="lessThan">
      <formula>$J$3</formula>
    </cfRule>
    <cfRule type="cellIs" dxfId="196" priority="6" operator="greaterThan">
      <formula>$J$3</formula>
    </cfRule>
  </conditionalFormatting>
  <conditionalFormatting sqref="G12">
    <cfRule type="cellIs" dxfId="195" priority="3" operator="lessThan">
      <formula>$J$3</formula>
    </cfRule>
    <cfRule type="cellIs" dxfId="194" priority="4" operator="greaterThan">
      <formula>$J$3</formula>
    </cfRule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224.40117998026511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144.80962249188516</v>
      </c>
      <c r="K4" s="4">
        <f>(J4/D17-1)</f>
        <v>-0.20951896166999529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0.10213073800000001</v>
      </c>
      <c r="O6" s="38">
        <f>($S$8*Params!K8)</f>
        <v>375.52455559461441</v>
      </c>
      <c r="P6" s="38">
        <f>(O6*N6)</f>
        <v>38.352600000000002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5.27342772953623E-2</v>
      </c>
      <c r="N7" s="24">
        <f>($R$8/5)</f>
        <v>0.10213073800000001</v>
      </c>
      <c r="O7" s="38">
        <f>($S$8*Params!K9)</f>
        <v>462.18406842414083</v>
      </c>
      <c r="P7" s="38">
        <f>(O7*N7)</f>
        <v>47.20320000000001</v>
      </c>
      <c r="R7" s="51">
        <f>(B7+B8+B10)</f>
        <v>2.14313E-3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2.131362407452558E-2</v>
      </c>
      <c r="N8" s="24">
        <f>($R$8/5)</f>
        <v>0.10213073800000001</v>
      </c>
      <c r="O8" s="38">
        <f>($S$8*Params!K10)</f>
        <v>635.50309408319367</v>
      </c>
      <c r="P8" s="38">
        <f>(O8*N8)</f>
        <v>64.90440000000001</v>
      </c>
      <c r="R8" s="51">
        <f>(B11)</f>
        <v>0.51065369000000005</v>
      </c>
      <c r="S8" s="38">
        <f>(C11)</f>
        <v>288.86504276508799</v>
      </c>
      <c r="T8" s="38">
        <f>(R8*S8)</f>
        <v>147.51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0.10213073800000001</v>
      </c>
      <c r="O9" s="38">
        <f>($S$8*Params!K11)</f>
        <v>1155.460171060352</v>
      </c>
      <c r="P9" s="38">
        <f>(O9*N9)</f>
        <v>118.00800000000001</v>
      </c>
      <c r="R9" s="51">
        <f>(B12)</f>
        <v>0.1227746</v>
      </c>
      <c r="S9" s="38">
        <f>(C12)</f>
        <v>290.77675675587625</v>
      </c>
      <c r="T9" s="38">
        <f>(R9*S9)</f>
        <v>35.700000000000003</v>
      </c>
      <c r="U9" t="s">
        <v>15</v>
      </c>
    </row>
    <row r="10" spans="2:21">
      <c r="B10" s="52">
        <v>1.8131499999999999E-3</v>
      </c>
      <c r="C10" s="40">
        <v>0</v>
      </c>
      <c r="D10" s="26">
        <v>0</v>
      </c>
      <c r="E10" s="38">
        <f>(B10*J3)</f>
        <v>0.40687299948121769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0.51065369000000005</v>
      </c>
      <c r="C11" s="38">
        <f>(D11/B11)</f>
        <v>288.86504276508799</v>
      </c>
      <c r="D11" s="38">
        <v>147.51</v>
      </c>
      <c r="E11" t="s">
        <v>10</v>
      </c>
      <c r="P11" s="38">
        <f>(SUM(P6:P9))</f>
        <v>268.46820000000002</v>
      </c>
    </row>
    <row r="12" spans="2:21">
      <c r="B12" s="51">
        <v>0.1227746</v>
      </c>
      <c r="C12" s="38">
        <f>(D12/B12)</f>
        <v>290.77675675587625</v>
      </c>
      <c r="D12" s="38">
        <v>35.700000000000003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2.4554920000000001E-2</v>
      </c>
      <c r="O14" s="38">
        <f>($S$9*Params!K8)</f>
        <v>378.00978378263915</v>
      </c>
      <c r="P14" s="38">
        <f>(O14*N14)</f>
        <v>9.2820000000000018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2.4554920000000001E-2</v>
      </c>
      <c r="O15" s="38">
        <f>($S$9*Params!K9)</f>
        <v>465.24281080940204</v>
      </c>
      <c r="P15" s="38">
        <f>(O15*N15)</f>
        <v>11.424000000000003</v>
      </c>
    </row>
    <row r="16" spans="2:21">
      <c r="N16" s="24">
        <f>($R$9/5)</f>
        <v>2.4554920000000001E-2</v>
      </c>
      <c r="O16" s="38">
        <f>($S$9*Params!K10)</f>
        <v>639.70886486292784</v>
      </c>
      <c r="P16" s="38">
        <f>(O16*N16)</f>
        <v>15.708000000000006</v>
      </c>
    </row>
    <row r="17" spans="2:16">
      <c r="B17" s="51">
        <f>(SUM(B5:B16))</f>
        <v>0.64531578000000001</v>
      </c>
      <c r="D17" s="38">
        <f>(SUM(D5:D16))</f>
        <v>183.19177244000002</v>
      </c>
      <c r="F17" t="s">
        <v>9</v>
      </c>
      <c r="G17" s="38">
        <f>(SUM(D5:D16)/SUM(B5:B16))</f>
        <v>283.87926983592439</v>
      </c>
      <c r="N17" s="24">
        <f>($R$9/5)</f>
        <v>2.4554920000000001E-2</v>
      </c>
      <c r="O17" s="38">
        <f>($S$9*Params!K11)</f>
        <v>1163.107027023505</v>
      </c>
      <c r="P17" s="38">
        <f>(O17*N17)</f>
        <v>28.560000000000006</v>
      </c>
    </row>
    <row r="18" spans="2:16">
      <c r="P18" s="38"/>
    </row>
    <row r="19" spans="2:16">
      <c r="P19" s="38">
        <f>(SUM(P14:P17))</f>
        <v>64.974000000000018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8.9217400000000014E-4</v>
      </c>
      <c r="O22" s="38">
        <f>($S$5*Params!K8)</f>
        <v>323.96134165178148</v>
      </c>
      <c r="P22" s="38">
        <f>(O22*N22)</f>
        <v>0.28902988602683655</v>
      </c>
    </row>
    <row r="23" spans="2:16">
      <c r="N23" s="24">
        <f>(($R$5+$R$7)/5)</f>
        <v>8.9217400000000014E-4</v>
      </c>
      <c r="O23" s="38">
        <f>($S$5*Params!K9)</f>
        <v>398.72165126373102</v>
      </c>
      <c r="P23" s="38">
        <f>(O23*N23)</f>
        <v>0.35572909049456802</v>
      </c>
    </row>
    <row r="24" spans="2:16">
      <c r="N24" s="24">
        <f>(($R$5+$R$7)/5)</f>
        <v>8.9217400000000014E-4</v>
      </c>
      <c r="O24" s="38">
        <f>($S$5*Params!K10)</f>
        <v>548.24227048763021</v>
      </c>
      <c r="P24" s="38">
        <f>(O24*N24)</f>
        <v>0.48912749943003109</v>
      </c>
    </row>
    <row r="25" spans="2:16">
      <c r="N25" s="24">
        <f>(($R$5+$R$7)/5)</f>
        <v>8.9217400000000014E-4</v>
      </c>
      <c r="O25" s="38">
        <f>($S$5*Params!K11)</f>
        <v>996.80412815932755</v>
      </c>
      <c r="P25" s="38">
        <f>(O25*N25)</f>
        <v>0.88932272623642006</v>
      </c>
    </row>
    <row r="26" spans="2:16">
      <c r="P26" s="38"/>
    </row>
    <row r="27" spans="2:16">
      <c r="P27" s="38">
        <f>(SUM(P22:P25))</f>
        <v>2.0232092021878554</v>
      </c>
    </row>
    <row r="37" spans="18:20">
      <c r="R37" s="51">
        <f>(SUM(R5:R27))</f>
        <v>0.64531578000000001</v>
      </c>
      <c r="T37" s="38">
        <f>(SUM(T5:T27))</f>
        <v>183.19177244000002</v>
      </c>
    </row>
  </sheetData>
  <conditionalFormatting sqref="C5:C6 C9 C11:C14 O6:O9 O14 S5:S6 S8:S9">
    <cfRule type="cellIs" dxfId="191" priority="9" operator="lessThan">
      <formula>$J$3</formula>
    </cfRule>
    <cfRule type="cellIs" dxfId="190" priority="10" operator="greaterThan">
      <formula>$J$3</formula>
    </cfRule>
  </conditionalFormatting>
  <conditionalFormatting sqref="O15:O17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22:O25">
    <cfRule type="cellIs" dxfId="187" priority="3" operator="lessThan">
      <formula>$J$3</formula>
    </cfRule>
    <cfRule type="cellIs" dxfId="18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M41" sqref="M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6.6096005806013672E-2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4.056866106525824</v>
      </c>
      <c r="K4" s="4">
        <f>(J4/D13-1)</f>
        <v>-0.18862677869483524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0.25926684</v>
      </c>
      <c r="C6" s="40">
        <v>0</v>
      </c>
      <c r="D6" s="26">
        <f>(B6*C6)</f>
        <v>0</v>
      </c>
      <c r="E6" s="38">
        <f>(B6*J3)</f>
        <v>1.7136502561946817E-2</v>
      </c>
      <c r="M6" t="s">
        <v>11</v>
      </c>
      <c r="N6" s="29">
        <f>($B$13/5)</f>
        <v>12.275677046</v>
      </c>
      <c r="O6" s="38">
        <f>($C$5*Params!K8)</f>
        <v>0.10634970155367125</v>
      </c>
      <c r="P6" s="38">
        <f>(O6*N6)</f>
        <v>1.3055145902113527</v>
      </c>
    </row>
    <row r="7" spans="2:16">
      <c r="N7" s="29">
        <f>($B$13/5)</f>
        <v>12.275677046</v>
      </c>
      <c r="O7" s="38">
        <f>($C$5*Params!K9)</f>
        <v>0.13089194037374924</v>
      </c>
      <c r="P7" s="38">
        <f>(O7*N7)</f>
        <v>1.6067871879524342</v>
      </c>
    </row>
    <row r="8" spans="2:16">
      <c r="N8" s="29">
        <f>($B$13/5)</f>
        <v>12.275677046</v>
      </c>
      <c r="O8" s="38">
        <f>($C$5*Params!K10)</f>
        <v>0.17997641801390521</v>
      </c>
      <c r="P8" s="38">
        <f>(O8*N8)</f>
        <v>2.2093323834345973</v>
      </c>
    </row>
    <row r="9" spans="2:16">
      <c r="N9" s="29">
        <f>($B$13/5)</f>
        <v>12.275677046</v>
      </c>
      <c r="O9" s="38">
        <f>($C$5*Params!K11)</f>
        <v>0.32722985093437307</v>
      </c>
      <c r="P9" s="38">
        <f>(O9*N9)</f>
        <v>4.016967969881085</v>
      </c>
    </row>
    <row r="11" spans="2:16">
      <c r="P11" s="38">
        <f>(SUM(P6:P9))</f>
        <v>9.1386021314794696</v>
      </c>
    </row>
    <row r="12" spans="2:16">
      <c r="F12" t="s">
        <v>9</v>
      </c>
      <c r="G12" s="38">
        <f>(D13/B13)</f>
        <v>8.1461901958869765E-2</v>
      </c>
    </row>
    <row r="13" spans="2:16">
      <c r="B13" s="29">
        <f>(SUM(B5:B12))</f>
        <v>61.378385229999999</v>
      </c>
      <c r="D13" s="38">
        <f>(SUM(D5:D12))</f>
        <v>5</v>
      </c>
    </row>
  </sheetData>
  <conditionalFormatting sqref="O6:O9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C5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2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4.1615171016355168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27.180960976116804</v>
      </c>
      <c r="K4" s="4">
        <f>(J4/D14-1)</f>
        <v>-0.24485465211832835</v>
      </c>
      <c r="R4" t="s">
        <v>5</v>
      </c>
      <c r="S4" t="s">
        <v>6</v>
      </c>
      <c r="T4" t="s">
        <v>7</v>
      </c>
    </row>
    <row r="5" spans="2:21">
      <c r="B5" s="24">
        <v>6.3821723099999996</v>
      </c>
      <c r="C5" s="38">
        <f>(D5/B5)</f>
        <v>5.5937066982762182</v>
      </c>
      <c r="D5" s="38">
        <v>35.700000000000003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6.1549130000000001E-2</v>
      </c>
      <c r="S5" s="40">
        <v>0</v>
      </c>
      <c r="T5" s="26">
        <f>(D6)</f>
        <v>0</v>
      </c>
      <c r="U5">
        <f>(R5*J3)</f>
        <v>0.25613775708578762</v>
      </c>
    </row>
    <row r="6" spans="2:21">
      <c r="B6" s="25">
        <v>6.1549130000000001E-2</v>
      </c>
      <c r="C6" s="40">
        <v>0</v>
      </c>
      <c r="D6" s="26">
        <f>(B6*C6)</f>
        <v>0</v>
      </c>
      <c r="E6" s="38">
        <f>(B6*J3)</f>
        <v>0.25613775708578762</v>
      </c>
      <c r="M6" t="s">
        <v>11</v>
      </c>
      <c r="N6" s="24">
        <f>($B$14/5)</f>
        <v>1.3063005780000001</v>
      </c>
      <c r="O6" s="38">
        <f>($S$6*Params!K8)</f>
        <v>7.2718187077590839</v>
      </c>
      <c r="P6" s="38">
        <f>(O6*N6)</f>
        <v>9.4991809810569059</v>
      </c>
      <c r="R6" s="24">
        <f>B5</f>
        <v>6.3821723099999996</v>
      </c>
      <c r="S6" s="38">
        <f>(T6/R6)</f>
        <v>5.5937066982762182</v>
      </c>
      <c r="T6" s="38">
        <f>D5</f>
        <v>35.700000000000003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1.3063005780000001</v>
      </c>
      <c r="O7" s="38">
        <f>($S$6*Params!K9)</f>
        <v>8.9499307172419496</v>
      </c>
      <c r="P7" s="38">
        <f>(O7*N7)</f>
        <v>11.691299668993114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1.3063005780000001</v>
      </c>
      <c r="O8" s="38">
        <f>($C$5*Params!K10)</f>
        <v>12.306154736207681</v>
      </c>
      <c r="P8" s="38">
        <f>(O8*N8)</f>
        <v>16.075537044865531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1.3063005780000001</v>
      </c>
      <c r="O9" s="38">
        <f>($C$5*Params!K11)</f>
        <v>22.374826793104873</v>
      </c>
      <c r="P9" s="38">
        <f>(O9*N9)</f>
        <v>29.228249172482784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66.494266867398323</v>
      </c>
    </row>
    <row r="13" spans="2:21">
      <c r="F13" t="s">
        <v>9</v>
      </c>
      <c r="G13" s="38">
        <f>(D14/B14)</f>
        <v>5.5108822603613659</v>
      </c>
      <c r="N13" s="24"/>
      <c r="P13" s="38"/>
      <c r="R13" s="24">
        <f>(SUM(R5:R12))</f>
        <v>6.5315028899999996</v>
      </c>
      <c r="T13" s="38">
        <f>(SUM(T5:T12))</f>
        <v>35.994343410000006</v>
      </c>
    </row>
    <row r="14" spans="2:21">
      <c r="B14">
        <f>(SUM(B5:B13))</f>
        <v>6.5315028900000005</v>
      </c>
      <c r="D14" s="38">
        <f>(SUM(D5:D13))</f>
        <v>35.994343409999999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79" priority="15" operator="lessThan">
      <formula>$J$3</formula>
    </cfRule>
    <cfRule type="cellIs" dxfId="17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41" sqref="B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28.68594839588042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3.5495797480613338</v>
      </c>
      <c r="K4" s="4">
        <f>(J4/D13-1)</f>
        <v>-0.31738850998820511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2.8916499999999999E-3</v>
      </c>
      <c r="C6" s="40">
        <v>0</v>
      </c>
      <c r="D6" s="26">
        <f>(B6*C6)</f>
        <v>0</v>
      </c>
      <c r="E6" s="38">
        <f>(B6*J3)</f>
        <v>8.294972267894761E-2</v>
      </c>
      <c r="M6" t="s">
        <v>11</v>
      </c>
      <c r="N6" s="24">
        <f>($B$13/5)</f>
        <v>2.4747864000000001E-2</v>
      </c>
      <c r="O6" s="38">
        <f>($C$5*Params!K8)</f>
        <v>55.939</v>
      </c>
      <c r="P6" s="38">
        <f>(O6*N6)</f>
        <v>1.3843707642960001</v>
      </c>
    </row>
    <row r="7" spans="2:16">
      <c r="N7" s="24">
        <f>($B$13/5)</f>
        <v>2.4747864000000001E-2</v>
      </c>
      <c r="O7" s="38">
        <f>($C$5*Params!K9)</f>
        <v>68.847999999999999</v>
      </c>
      <c r="P7" s="38">
        <f>(O7*N7)</f>
        <v>1.7038409406720001</v>
      </c>
    </row>
    <row r="8" spans="2:16">
      <c r="N8" s="24">
        <f>($B$13/5)</f>
        <v>2.4747864000000001E-2</v>
      </c>
      <c r="O8" s="38">
        <f>($C$5*Params!K10)</f>
        <v>94.666000000000011</v>
      </c>
      <c r="P8" s="38">
        <f>(O8*N8)</f>
        <v>2.3427812934240002</v>
      </c>
    </row>
    <row r="9" spans="2:16">
      <c r="N9" s="24">
        <f>($B$13/5)</f>
        <v>2.4747864000000001E-2</v>
      </c>
      <c r="O9" s="38">
        <f>($C$5*Params!K11)</f>
        <v>172.12</v>
      </c>
      <c r="P9" s="38">
        <f>(O9*N9)</f>
        <v>4.2596023516800008</v>
      </c>
    </row>
    <row r="11" spans="2:16">
      <c r="P11" s="38">
        <f>(SUM(P6:P9))</f>
        <v>9.6905953500720017</v>
      </c>
    </row>
    <row r="12" spans="2:16">
      <c r="F12" t="s">
        <v>9</v>
      </c>
      <c r="G12" s="38">
        <f>(D13/B13)</f>
        <v>42.023828803972741</v>
      </c>
    </row>
    <row r="13" spans="2:16">
      <c r="B13">
        <f>(SUM(B5:B12))</f>
        <v>0.12373932</v>
      </c>
      <c r="D13" s="38">
        <f>(SUM(D5:D12))</f>
        <v>5.2</v>
      </c>
    </row>
  </sheetData>
  <conditionalFormatting sqref="C5">
    <cfRule type="cellIs" dxfId="177" priority="3" operator="lessThan">
      <formula>$J$3</formula>
    </cfRule>
    <cfRule type="cellIs" dxfId="176" priority="4" operator="greaterThan">
      <formula>$J$3</formula>
    </cfRule>
  </conditionalFormatting>
  <conditionalFormatting sqref="O6:O9">
    <cfRule type="cellIs" dxfId="175" priority="1" operator="lessThan">
      <formula>$J$3</formula>
    </cfRule>
    <cfRule type="cellIs" dxfId="17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3.539359218558018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7.0130491307813179</v>
      </c>
      <c r="K4" s="4">
        <f>(J4/D10-1)</f>
        <v>-0.25074261423276512</v>
      </c>
    </row>
    <row r="5" spans="2:16">
      <c r="B5" s="1">
        <v>1.97945953</v>
      </c>
      <c r="C5" s="38">
        <f>(D5/B5)</f>
        <v>4.7285634579253051</v>
      </c>
      <c r="D5" s="38">
        <v>9.36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1.9864599999999998E-3</v>
      </c>
      <c r="C6" s="40">
        <v>0</v>
      </c>
      <c r="D6" s="26">
        <f>(B6*C6)</f>
        <v>0</v>
      </c>
      <c r="E6" s="38">
        <f>(B6*J3)</f>
        <v>7.0307955132967595E-3</v>
      </c>
      <c r="M6" t="s">
        <v>11</v>
      </c>
      <c r="N6" s="24">
        <f>($B$10/5)</f>
        <v>0.39628919799999995</v>
      </c>
      <c r="O6" s="38">
        <f>($C$5*Params!K8)</f>
        <v>6.1471324953028965</v>
      </c>
      <c r="P6" s="38">
        <f>(O6*N6)</f>
        <v>2.4360422065633234</v>
      </c>
    </row>
    <row r="7" spans="2:16">
      <c r="N7" s="24">
        <f>($B$10/5)</f>
        <v>0.39628919799999995</v>
      </c>
      <c r="O7" s="38">
        <f>($C$5*Params!K9)</f>
        <v>7.5657015326804888</v>
      </c>
      <c r="P7" s="38">
        <f>(O7*N7)</f>
        <v>2.9982057926933212</v>
      </c>
    </row>
    <row r="8" spans="2:16">
      <c r="N8" s="24">
        <f>($B$10/5)</f>
        <v>0.39628919799999995</v>
      </c>
      <c r="O8" s="38">
        <f>($C$5*Params!K10)</f>
        <v>10.402839607435672</v>
      </c>
      <c r="P8" s="38">
        <f>(O8*N8)</f>
        <v>4.1225329649533169</v>
      </c>
    </row>
    <row r="9" spans="2:16">
      <c r="F9" t="s">
        <v>9</v>
      </c>
      <c r="G9" s="38">
        <f>(D10/B10)</f>
        <v>4.7238229289308054</v>
      </c>
      <c r="N9" s="24">
        <f>($B$10/5)</f>
        <v>0.39628919799999995</v>
      </c>
      <c r="O9" s="38">
        <f>($C$5*Params!K11)</f>
        <v>18.91425383170122</v>
      </c>
      <c r="P9" s="38">
        <f>(O9*N9)</f>
        <v>7.495514481733303</v>
      </c>
    </row>
    <row r="10" spans="2:16">
      <c r="B10">
        <f>(SUM(B5:B9))</f>
        <v>1.9814459899999999</v>
      </c>
      <c r="D10" s="38">
        <f>(SUM(D5:D9))</f>
        <v>9.36</v>
      </c>
    </row>
    <row r="11" spans="2:16">
      <c r="P11" s="38">
        <f>(SUM(P6:P9))</f>
        <v>17.052295445943265</v>
      </c>
    </row>
    <row r="12" spans="2:16">
      <c r="P12" s="38"/>
    </row>
  </sheetData>
  <conditionalFormatting sqref="C5">
    <cfRule type="cellIs" dxfId="173" priority="5" operator="lessThan">
      <formula>$J$3</formula>
    </cfRule>
    <cfRule type="cellIs" dxfId="172" priority="6" operator="greaterThan">
      <formula>$J$3</formula>
    </cfRule>
  </conditionalFormatting>
  <conditionalFormatting sqref="O6:O9">
    <cfRule type="cellIs" dxfId="171" priority="3" operator="lessThan">
      <formula>$J$3</formula>
    </cfRule>
    <cfRule type="cellIs" dxfId="170" priority="4" operator="greaterThan">
      <formula>$J$3</formula>
    </cfRule>
  </conditionalFormatting>
  <conditionalFormatting sqref="G9">
    <cfRule type="cellIs" dxfId="169" priority="1" operator="lessThan">
      <formula>$J$3</formula>
    </cfRule>
    <cfRule type="cellIs" dxfId="16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1.8212795104459281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9.0155976258107682</v>
      </c>
      <c r="K4" s="4">
        <f>(J4/D10-1)</f>
        <v>-0.1628971563778302</v>
      </c>
    </row>
    <row r="5" spans="2:16">
      <c r="B5" s="1">
        <v>4.93337468</v>
      </c>
      <c r="C5" s="38">
        <f>(D5/B5)</f>
        <v>2.1830898114553907</v>
      </c>
      <c r="D5" s="38">
        <v>10.77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1.6770299999999998E-2</v>
      </c>
      <c r="C6" s="40">
        <v>0</v>
      </c>
      <c r="D6" s="26">
        <f>(B6*C6)</f>
        <v>0</v>
      </c>
      <c r="E6" s="38">
        <f>(B6*J3)</f>
        <v>3.0543403774031346E-2</v>
      </c>
      <c r="M6" t="s">
        <v>11</v>
      </c>
      <c r="N6" s="1">
        <f>($B$10/5)</f>
        <v>0.99002899600000005</v>
      </c>
      <c r="O6" s="38">
        <f>($C$5*Params!K8)</f>
        <v>2.8380167548920081</v>
      </c>
      <c r="P6" s="38">
        <f>(O6*N6)</f>
        <v>2.8097188784769132</v>
      </c>
    </row>
    <row r="7" spans="2:16">
      <c r="N7" s="1">
        <f>($B$10/5)</f>
        <v>0.99002899600000005</v>
      </c>
      <c r="O7" s="38">
        <f>($C$5*Params!K9)</f>
        <v>3.4929436983286255</v>
      </c>
      <c r="P7" s="38">
        <f>(O7*N7)</f>
        <v>3.4581155427408161</v>
      </c>
    </row>
    <row r="8" spans="2:16">
      <c r="N8" s="1">
        <f>($B$10/5)</f>
        <v>0.99002899600000005</v>
      </c>
      <c r="O8" s="38">
        <f>($C$5*Params!K10)</f>
        <v>4.8027975852018603</v>
      </c>
      <c r="P8" s="38">
        <f>(O8*N8)</f>
        <v>4.7549088712686221</v>
      </c>
    </row>
    <row r="9" spans="2:16">
      <c r="F9" t="s">
        <v>9</v>
      </c>
      <c r="G9" s="38">
        <f>(D10/B10)</f>
        <v>2.1756938521020852</v>
      </c>
      <c r="N9" s="1">
        <f>($B$10/5)</f>
        <v>0.99002899600000005</v>
      </c>
      <c r="O9" s="38">
        <f>($C$5*Params!K11)</f>
        <v>8.7323592458215629</v>
      </c>
      <c r="P9" s="38">
        <f>(O9*N9)</f>
        <v>8.645288856852039</v>
      </c>
    </row>
    <row r="10" spans="2:16">
      <c r="B10" s="1">
        <f>(SUM(B5:B9))</f>
        <v>4.9501449800000001</v>
      </c>
      <c r="D10" s="38">
        <f>(SUM(D5:D9))</f>
        <v>10.77</v>
      </c>
    </row>
    <row r="11" spans="2:16">
      <c r="P11" s="38">
        <f>(SUM(P6:P9))</f>
        <v>19.668032149338391</v>
      </c>
    </row>
  </sheetData>
  <conditionalFormatting sqref="C5"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O6:O9">
    <cfRule type="cellIs" dxfId="165" priority="3" operator="lessThan">
      <formula>$J$3</formula>
    </cfRule>
    <cfRule type="cellIs" dxfId="164" priority="4" operator="greaterThan">
      <formula>$J$3</formula>
    </cfRule>
  </conditionalFormatting>
  <conditionalFormatting sqref="G9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topLeftCell="A2" workbookViewId="0">
      <selection activeCell="B7" sqref="B7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33714.428700714969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993.597253950197</v>
      </c>
      <c r="K4" s="4">
        <f>(J4/D37-1)</f>
        <v>0.41770645476753554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3.4352999999999999E-4</v>
      </c>
      <c r="C6" s="40">
        <v>0</v>
      </c>
      <c r="D6" s="26">
        <f>(B6*C6)</f>
        <v>0</v>
      </c>
      <c r="E6" s="38">
        <f>(B6*J3)</f>
        <v>11.581917691556614</v>
      </c>
      <c r="I6" t="s">
        <v>11</v>
      </c>
      <c r="J6">
        <v>0.03</v>
      </c>
      <c r="R6" s="24">
        <f t="shared" si="0"/>
        <v>3.4352999999999999E-4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5.2901999999999463E-4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17.835607071252053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6.0784099999999994E-3</v>
      </c>
      <c r="S19" s="38">
        <f t="shared" si="2"/>
        <v>23395.26270850436</v>
      </c>
      <c r="T19" s="38">
        <f>(D23+17438.6*B32)</f>
        <v>142.20599879999997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1.3923499999999999E-3</v>
      </c>
      <c r="S20" s="38">
        <f t="shared" si="2"/>
        <v>24996.558981577913</v>
      </c>
      <c r="T20" s="38">
        <f>(D24+17211.7*B31)</f>
        <v>34.803958898000005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6.4204099999999997E-3</v>
      </c>
      <c r="C23" s="38">
        <f t="shared" si="3"/>
        <v>23077.965425884016</v>
      </c>
      <c r="D23" s="38">
        <v>148.16999999999999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1.4444099999999999E-3</v>
      </c>
      <c r="C24" s="38">
        <f t="shared" si="3"/>
        <v>24715.973996302993</v>
      </c>
      <c r="D24" s="38">
        <v>35.700000000000003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1.62163E-3</v>
      </c>
      <c r="S24" s="38">
        <f>(T24/R24)</f>
        <v>25930.699358053316</v>
      </c>
      <c r="T24" s="38">
        <f>(D34)</f>
        <v>42.05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1.62163E-3</v>
      </c>
      <c r="C34" s="38">
        <f>(D34/B34)</f>
        <v>25930.699358053316</v>
      </c>
      <c r="D34" s="38">
        <v>42.05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23780.965789736212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2.8741709999999997E-2</v>
      </c>
      <c r="T36" s="38">
        <f>(SUM(T5:T25))</f>
        <v>516.76980017000005</v>
      </c>
    </row>
    <row r="37" spans="2:20">
      <c r="B37">
        <f>(SUM(B5:B36))</f>
        <v>2.9470980000000004E-2</v>
      </c>
      <c r="D37" s="38">
        <f>(SUM(D5:D36))</f>
        <v>700.84836717000019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2.2261640000000001E-3</v>
      </c>
      <c r="N50" s="38">
        <f>($S$19*Params!K16)</f>
        <v>46790.525417008721</v>
      </c>
      <c r="O50" s="41">
        <f>(N50*M50)</f>
        <v>104.16338322442981</v>
      </c>
    </row>
    <row r="51" spans="12:16">
      <c r="M51">
        <f>($B$23/5)</f>
        <v>1.284082E-3</v>
      </c>
      <c r="N51" s="38">
        <f>($S$19*Params!K17)</f>
        <v>93581.050834017442</v>
      </c>
      <c r="O51" s="41">
        <f>(N51*M51)</f>
        <v>120.16574291704679</v>
      </c>
    </row>
    <row r="52" spans="12:16">
      <c r="M52">
        <f>($B$23/5)</f>
        <v>1.284082E-3</v>
      </c>
      <c r="N52" s="38">
        <f>($S$19*Params!K18)</f>
        <v>187162.10166803488</v>
      </c>
      <c r="O52" s="41">
        <f>(N52*M52)</f>
        <v>240.33148583409357</v>
      </c>
    </row>
    <row r="54" spans="12:16">
      <c r="O54" s="41">
        <f>(SUM(O49:O52))</f>
        <v>472.1162119755702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5.2570399999999988E-4</v>
      </c>
      <c r="N58" s="38">
        <f>($S$20*Params!K16)</f>
        <v>49993.117963155826</v>
      </c>
      <c r="O58" s="41">
        <f>(N58*M58)</f>
        <v>26.281582085702865</v>
      </c>
    </row>
    <row r="59" spans="12:16">
      <c r="M59">
        <f>($B$24/5)</f>
        <v>2.8888199999999996E-4</v>
      </c>
      <c r="N59" s="38">
        <f>($S$20*Params!K17)</f>
        <v>99986.235926311652</v>
      </c>
      <c r="O59" s="41">
        <f>(N59*M59)</f>
        <v>28.88422380686476</v>
      </c>
    </row>
    <row r="60" spans="12:16">
      <c r="M60">
        <f>($B$24/5)</f>
        <v>2.8888199999999996E-4</v>
      </c>
      <c r="N60" s="38">
        <f>($S$20*Params!K18)</f>
        <v>199972.4718526233</v>
      </c>
      <c r="O60" s="41">
        <f>(N60*M60)</f>
        <v>57.768447613729521</v>
      </c>
    </row>
    <row r="62" spans="12:16">
      <c r="O62" s="41">
        <f>(SUM(O57:O60))</f>
        <v>114.05666710629714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3.24326E-4</v>
      </c>
      <c r="N73" s="38">
        <f>($S$24*Params!K15)</f>
        <v>38896.049037079974</v>
      </c>
      <c r="O73" s="41">
        <f>(N73*M73)</f>
        <v>12.615</v>
      </c>
    </row>
    <row r="74" spans="12:16">
      <c r="M74">
        <f>($R$24/5)</f>
        <v>3.24326E-4</v>
      </c>
      <c r="N74" s="38">
        <f>($S$24*Params!K16)</f>
        <v>51861.398716106632</v>
      </c>
      <c r="O74" s="41">
        <f>(N74*M74)</f>
        <v>16.82</v>
      </c>
    </row>
    <row r="75" spans="12:16">
      <c r="M75">
        <f>($R$24/5)</f>
        <v>3.24326E-4</v>
      </c>
      <c r="N75" s="38">
        <f>($S$24*Params!K17)</f>
        <v>103722.79743221326</v>
      </c>
      <c r="O75" s="41">
        <f>(N75*M75)</f>
        <v>33.64</v>
      </c>
    </row>
    <row r="76" spans="12:16">
      <c r="M76">
        <f>($R$24/5)</f>
        <v>3.24326E-4</v>
      </c>
      <c r="N76" s="38">
        <f>($S$24*Params!K18)</f>
        <v>207445.59486442653</v>
      </c>
      <c r="O76" s="41">
        <f>(N76*M76)</f>
        <v>67.28</v>
      </c>
    </row>
    <row r="78" spans="12:16">
      <c r="O78" s="41">
        <f>(SUM(O73:O76))</f>
        <v>130.35500000000002</v>
      </c>
    </row>
  </sheetData>
  <conditionalFormatting sqref="C5 C7:C17 C19:C20 C22:C25 C34:C35 G36 N10:N12 N20 N26:N28 N34 S5 S7:S21 S24">
    <cfRule type="cellIs" dxfId="271" priority="45" operator="lessThan">
      <formula>$J$3</formula>
    </cfRule>
    <cfRule type="cellIs" dxfId="270" priority="46" operator="greaterThan">
      <formula>$J$3</formula>
    </cfRule>
  </conditionalFormatting>
  <conditionalFormatting sqref="N35:N36">
    <cfRule type="cellIs" dxfId="269" priority="19" operator="lessThan">
      <formula>$J$3</formula>
    </cfRule>
    <cfRule type="cellIs" dxfId="268" priority="20" operator="greaterThan">
      <formula>$J$3</formula>
    </cfRule>
  </conditionalFormatting>
  <conditionalFormatting sqref="N42:N44">
    <cfRule type="cellIs" dxfId="267" priority="17" operator="lessThan">
      <formula>$J$3</formula>
    </cfRule>
    <cfRule type="cellIs" dxfId="266" priority="18" operator="greaterThan">
      <formula>$J$3</formula>
    </cfRule>
  </conditionalFormatting>
  <conditionalFormatting sqref="N50:N52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N58:N60">
    <cfRule type="cellIs" dxfId="263" priority="13" operator="lessThan">
      <formula>$J$3</formula>
    </cfRule>
    <cfRule type="cellIs" dxfId="262" priority="14" operator="greaterThan">
      <formula>$J$3</formula>
    </cfRule>
  </conditionalFormatting>
  <conditionalFormatting sqref="N66:N68">
    <cfRule type="cellIs" dxfId="261" priority="11" operator="lessThan">
      <formula>$J$3</formula>
    </cfRule>
    <cfRule type="cellIs" dxfId="260" priority="12" operator="greaterThan">
      <formula>$J$3</formula>
    </cfRule>
  </conditionalFormatting>
  <conditionalFormatting sqref="N73:N76">
    <cfRule type="cellIs" dxfId="259" priority="9" operator="lessThan">
      <formula>$J$3</formula>
    </cfRule>
    <cfRule type="cellIs" dxfId="258" priority="10" operator="greaterThan">
      <formula>$J$3</formula>
    </cfRule>
  </conditionalFormatting>
  <conditionalFormatting sqref="N4">
    <cfRule type="cellIs" dxfId="257" priority="1" operator="greaterThan">
      <formula>$J$3</formula>
    </cfRule>
    <cfRule type="cellIs" dxfId="25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N7" sqref="N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10.01556215369574</v>
      </c>
      <c r="M3" t="s">
        <v>4</v>
      </c>
      <c r="N3" s="24">
        <f>(INDEX(N5:N15,MATCH(MAX(O6),O5:O15,0))/0.9)</f>
        <v>0.27777777777777779</v>
      </c>
      <c r="O3" s="39">
        <f>(MAX(O6)*0.85)</f>
        <v>8.0324999999999989</v>
      </c>
      <c r="P3" s="35">
        <f>(O3*N3)</f>
        <v>2.2312499999999997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(B10*J3)</f>
        <v>10.310410087627144</v>
      </c>
      <c r="K4" s="4">
        <f>(J4/D10-1)</f>
        <v>0.68462695208814695</v>
      </c>
      <c r="R4" t="s">
        <v>5</v>
      </c>
      <c r="S4" t="s">
        <v>6</v>
      </c>
      <c r="T4" t="s">
        <v>7</v>
      </c>
    </row>
    <row r="5" spans="2:21">
      <c r="B5" s="1">
        <v>1.2773171999999999</v>
      </c>
      <c r="C5" s="38">
        <f>(D5/B5)</f>
        <v>6.7876640195559883</v>
      </c>
      <c r="D5" s="38">
        <v>8.67</v>
      </c>
      <c r="E5" t="s">
        <v>81</v>
      </c>
      <c r="M5" t="s">
        <v>81</v>
      </c>
      <c r="N5" t="s">
        <v>29</v>
      </c>
      <c r="O5" t="s">
        <v>1</v>
      </c>
      <c r="P5" t="s">
        <v>2</v>
      </c>
      <c r="R5" s="1">
        <f>(B5)</f>
        <v>1.2773171999999999</v>
      </c>
      <c r="S5" s="38">
        <f>(T5/R5)</f>
        <v>6.7876640195559883</v>
      </c>
      <c r="T5" s="38">
        <f>(D5)</f>
        <v>8.67</v>
      </c>
    </row>
    <row r="6" spans="2:21">
      <c r="B6" s="2">
        <v>2.1217800000000002E-3</v>
      </c>
      <c r="C6" s="40">
        <v>0</v>
      </c>
      <c r="D6" s="26">
        <f>(B6*C6)</f>
        <v>0</v>
      </c>
      <c r="E6" s="38">
        <f>(B6*J3)</f>
        <v>2.1250819466468548E-2</v>
      </c>
      <c r="M6" t="s">
        <v>11</v>
      </c>
      <c r="N6" s="24">
        <f>-B7</f>
        <v>0.25</v>
      </c>
      <c r="O6" s="38">
        <f>9.45</f>
        <v>9.4499999999999993</v>
      </c>
      <c r="P6" s="38">
        <f>-D7</f>
        <v>2.5497072699999999</v>
      </c>
      <c r="R6" s="2">
        <f>(B6)</f>
        <v>2.1217800000000002E-3</v>
      </c>
      <c r="S6" s="40">
        <f>(T6/R6)</f>
        <v>0</v>
      </c>
      <c r="T6" s="26">
        <f>(D6)</f>
        <v>0</v>
      </c>
    </row>
    <row r="7" spans="2:21">
      <c r="B7" s="1">
        <v>-0.25</v>
      </c>
      <c r="C7" s="38">
        <f>D7/B7</f>
        <v>10.198829079999999</v>
      </c>
      <c r="D7" s="38">
        <f>-2.54970727</f>
        <v>-2.5497072699999999</v>
      </c>
      <c r="N7" s="24">
        <f>($B$10/5)</f>
        <v>0.20588779599999998</v>
      </c>
      <c r="O7" s="38">
        <f>($C$5*Params!K9)</f>
        <v>10.860262431289582</v>
      </c>
      <c r="P7" s="38">
        <f>(O7*N7)</f>
        <v>2.2359954959598132</v>
      </c>
      <c r="R7" s="1">
        <f>(B7)</f>
        <v>-0.25</v>
      </c>
      <c r="S7" s="38">
        <f>(T7/R7)</f>
        <v>10.198829079999999</v>
      </c>
      <c r="T7" s="38">
        <f>(D7)</f>
        <v>-2.5497072699999999</v>
      </c>
    </row>
    <row r="8" spans="2:21">
      <c r="C8" s="38"/>
      <c r="D8" s="38"/>
      <c r="N8" s="24">
        <f>($B$10/5)</f>
        <v>0.20588779599999998</v>
      </c>
      <c r="O8" s="38">
        <f>($C$5*Params!K10)</f>
        <v>14.932860843023175</v>
      </c>
      <c r="P8" s="38">
        <f>(O8*N8)</f>
        <v>3.0744938069447429</v>
      </c>
      <c r="R8" s="1"/>
      <c r="S8" s="38"/>
      <c r="T8" s="38"/>
      <c r="U8" s="39"/>
    </row>
    <row r="9" spans="2:21">
      <c r="C9" s="38"/>
      <c r="D9" s="38"/>
      <c r="F9" t="s">
        <v>9</v>
      </c>
      <c r="G9" s="38">
        <f>(D10/B10)</f>
        <v>5.9452700440777955</v>
      </c>
      <c r="N9" s="24">
        <f>($B$10/5)</f>
        <v>0.20588779599999998</v>
      </c>
      <c r="O9" s="38">
        <f>($C$5*Params!K11)</f>
        <v>27.150656078223953</v>
      </c>
      <c r="P9" s="38">
        <f>(O9*N9)</f>
        <v>5.5899887398995327</v>
      </c>
      <c r="R9" s="1"/>
      <c r="S9" s="38"/>
      <c r="T9" s="38"/>
      <c r="U9" s="39"/>
    </row>
    <row r="10" spans="2:21">
      <c r="B10">
        <f>(SUM(B5:B9))</f>
        <v>1.0294389799999999</v>
      </c>
      <c r="C10" s="38"/>
      <c r="D10" s="38">
        <f>(SUM(D5:D9))</f>
        <v>6.1202927300000001</v>
      </c>
      <c r="O10" s="38"/>
      <c r="P10" s="38"/>
      <c r="R10" s="1"/>
      <c r="S10" s="38"/>
      <c r="T10" s="39"/>
    </row>
    <row r="11" spans="2:21">
      <c r="O11" s="38"/>
      <c r="P11" s="38">
        <f>(SUM(P6:P9))</f>
        <v>13.450185312804088</v>
      </c>
    </row>
    <row r="21" spans="18:20">
      <c r="R21">
        <f>(SUM(R5:R20))</f>
        <v>1.0294389799999999</v>
      </c>
      <c r="T21" s="38">
        <f>(SUM(T5:T20))</f>
        <v>6.1202927300000001</v>
      </c>
    </row>
  </sheetData>
  <conditionalFormatting sqref="O7:O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C5">
    <cfRule type="cellIs" dxfId="159" priority="7" operator="lessThan">
      <formula>$J$3</formula>
    </cfRule>
    <cfRule type="cellIs" dxfId="158" priority="8" operator="greaterThan">
      <formula>$J$3</formula>
    </cfRule>
  </conditionalFormatting>
  <conditionalFormatting sqref="G9">
    <cfRule type="cellIs" dxfId="157" priority="5" operator="lessThan">
      <formula>$J$3</formula>
    </cfRule>
    <cfRule type="cellIs" dxfId="156" priority="6" operator="greaterThan">
      <formula>$J$3</formula>
    </cfRule>
  </conditionalFormatting>
  <conditionalFormatting sqref="O3">
    <cfRule type="cellIs" dxfId="155" priority="3" operator="greaterThan">
      <formula>$J$3</formula>
    </cfRule>
    <cfRule type="cellIs" dxfId="154" priority="4" operator="lessThan">
      <formula>$J$3</formula>
    </cfRule>
  </conditionalFormatting>
  <conditionalFormatting sqref="S5 S7">
    <cfRule type="cellIs" dxfId="153" priority="1" operator="lessThan">
      <formula>$J$3</formula>
    </cfRule>
    <cfRule type="cellIs" dxfId="15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1" sqref="O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68.263775287458827</v>
      </c>
      <c r="M3" t="s">
        <v>4</v>
      </c>
      <c r="N3" s="24">
        <f>(INDEX(N5:N15,MATCH(MAX(O6),O5:O15,0))/0.9)</f>
        <v>3.6418162222222217E-2</v>
      </c>
      <c r="O3" s="39">
        <f>(MAX(O6)*0.85)</f>
        <v>76.033733733733726</v>
      </c>
      <c r="P3" s="35">
        <f>(O3*N3)</f>
        <v>2.7690088494763647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11.18718559044</v>
      </c>
      <c r="K4" s="4">
        <f>(J4/D15-1)</f>
        <v>0.12559840899711827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9.2414000000000005E-4</v>
      </c>
      <c r="C6" s="40">
        <v>0</v>
      </c>
      <c r="D6" s="26">
        <f>(B6*C6)</f>
        <v>0</v>
      </c>
      <c r="E6" s="38">
        <f>(B6*J3)</f>
        <v>6.3085285294152207E-2</v>
      </c>
      <c r="M6" t="s">
        <v>11</v>
      </c>
      <c r="N6" s="51">
        <f>(SUM(R$5:R$8)/5)</f>
        <v>3.2776345999999998E-2</v>
      </c>
      <c r="O6" s="38">
        <f>($C$7*Params!K8)</f>
        <v>89.451451451451447</v>
      </c>
      <c r="P6" s="38">
        <f>(O6*N6)</f>
        <v>2.9318917229749748</v>
      </c>
      <c r="R6" s="2">
        <f>(B6)</f>
        <v>9.2414000000000005E-4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3.2776345999999998E-2</v>
      </c>
      <c r="O7" s="38">
        <f>($C$7*Params!K9)</f>
        <v>110.09409409409409</v>
      </c>
      <c r="P7" s="38">
        <f>(O7*N7)</f>
        <v>3.6084821205845841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3.2776345999999998E-2</v>
      </c>
      <c r="O8" s="38">
        <f>($C$7*Params!K10)</f>
        <v>151.37937937937937</v>
      </c>
      <c r="P8" s="38">
        <f>(O8*N8)</f>
        <v>4.961662915803803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1.2449128343151457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3.2776345999999998E-2</v>
      </c>
      <c r="O9" s="38">
        <f>($C$7*Params!K11)</f>
        <v>275.23523523523522</v>
      </c>
      <c r="P9" s="38">
        <f>(O9*N9)</f>
        <v>9.0212053014614604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20.52324206082482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60.646652253426907</v>
      </c>
    </row>
    <row r="15" spans="2:21">
      <c r="B15" s="1">
        <f>(SUM(B5:B14))</f>
        <v>0.16388173</v>
      </c>
      <c r="D15" s="38">
        <f>(SUM(D5:D14))</f>
        <v>9.9388782899999999</v>
      </c>
    </row>
    <row r="21" spans="18:20">
      <c r="R21">
        <f>(SUM(R5:R20))</f>
        <v>0.16388173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51" priority="21" operator="lessThan">
      <formula>$J$3</formula>
    </cfRule>
    <cfRule type="cellIs" dxfId="150" priority="22" operator="greaterThan">
      <formula>$J$3</formula>
    </cfRule>
  </conditionalFormatting>
  <conditionalFormatting sqref="C9">
    <cfRule type="cellIs" dxfId="149" priority="9" operator="lessThan">
      <formula>$J$3</formula>
    </cfRule>
    <cfRule type="cellIs" dxfId="148" priority="10" operator="greaterThan">
      <formula>$J$3</formula>
    </cfRule>
  </conditionalFormatting>
  <conditionalFormatting sqref="O3">
    <cfRule type="cellIs" dxfId="147" priority="7" operator="greaterThan">
      <formula>$J$3</formula>
    </cfRule>
    <cfRule type="cellIs" dxfId="146" priority="8" operator="lessThan">
      <formula>$J$3</formula>
    </cfRule>
  </conditionalFormatting>
  <conditionalFormatting sqref="C12:C13">
    <cfRule type="cellIs" dxfId="145" priority="5" operator="lessThan">
      <formula>$J$3</formula>
    </cfRule>
    <cfRule type="cellIs" dxfId="144" priority="6" operator="greaterThan">
      <formula>$J$3</formula>
    </cfRule>
  </conditionalFormatting>
  <conditionalFormatting sqref="O6:O7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G14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0.43548920821880599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1.1226504736117899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5.3077359999999997E-2</v>
      </c>
      <c r="C6" s="40">
        <v>0</v>
      </c>
      <c r="D6" s="26">
        <f>(B6*C6)</f>
        <v>0</v>
      </c>
      <c r="E6" s="38">
        <f>(B6*J3)</f>
        <v>2.3114617480744525E-2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2.5779065300000008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6.0216358179158812E-5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20.466621175825043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4729.9961426999998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4729.9961426999998</v>
      </c>
      <c r="C18" s="40">
        <v>0</v>
      </c>
      <c r="D18" s="26">
        <f>(B18*C18)</f>
        <v>0</v>
      </c>
      <c r="E18" s="38">
        <f>(B18*J3)</f>
        <v>0.28482314191486274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3.7389640887065521</v>
      </c>
    </row>
    <row r="37" spans="2:20">
      <c r="B37">
        <f>(SUM(B5:B36))</f>
        <v>339884.73887663044</v>
      </c>
      <c r="D37" s="38">
        <f>(SUM(D5:D36))</f>
        <v>-21.780357561799917</v>
      </c>
      <c r="F37" t="s">
        <v>9</v>
      </c>
      <c r="G37" s="28">
        <f>(D37/B37)</f>
        <v>-6.4081599055571708E-5</v>
      </c>
      <c r="R37">
        <f>(SUM(R5:R36))</f>
        <v>339884.73887663044</v>
      </c>
      <c r="T37">
        <f>(SUM(T5:T36))</f>
        <v>-21.78035756179991</v>
      </c>
    </row>
  </sheetData>
  <conditionalFormatting sqref="C5:C9 C14:C16 C25:C26 C28 C30 C32 C35">
    <cfRule type="cellIs" dxfId="139" priority="13" operator="lessThan">
      <formula>$J$3</formula>
    </cfRule>
    <cfRule type="cellIs" dxfId="138" priority="14" operator="greaterThan">
      <formula>$J$3</formula>
    </cfRule>
  </conditionalFormatting>
  <conditionalFormatting sqref="N6">
    <cfRule type="cellIs" dxfId="137" priority="9" operator="lessThan">
      <formula>$J$3</formula>
    </cfRule>
    <cfRule type="cellIs" dxfId="136" priority="10" operator="greaterThan">
      <formula>$J$3</formula>
    </cfRule>
  </conditionalFormatting>
  <conditionalFormatting sqref="N9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S5:S9 S13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37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0.62235330377439713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32.478847488659582</v>
      </c>
      <c r="K4" s="4">
        <f>(J4/D18-1)</f>
        <v>-0.2934209870592237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0.30542809999999998</v>
      </c>
      <c r="C6" s="40">
        <v>0</v>
      </c>
      <c r="D6" s="26">
        <f>(B6*C6)</f>
        <v>0</v>
      </c>
      <c r="E6" s="38">
        <f>(B6*J3)</f>
        <v>0.19008418710053693</v>
      </c>
      <c r="M6" t="s">
        <v>11</v>
      </c>
      <c r="N6" s="19">
        <f>($B$7+$R$9)/5</f>
        <v>7.7016493257777769</v>
      </c>
      <c r="O6" s="38">
        <f>($S$7*Params!K8)</f>
        <v>1.2252707820245201</v>
      </c>
      <c r="P6" s="38">
        <f>(O6*N6)</f>
        <v>9.4366058922743541</v>
      </c>
      <c r="R6" s="36">
        <f>(B6)</f>
        <v>0.30542809999999998</v>
      </c>
      <c r="S6" s="40">
        <v>0</v>
      </c>
      <c r="T6" s="26">
        <f>(D6)</f>
        <v>0</v>
      </c>
      <c r="U6" s="38">
        <f>(R6*J3)</f>
        <v>0.19008418710053693</v>
      </c>
    </row>
    <row r="7" spans="2:21">
      <c r="B7" s="19">
        <v>37.877341629999997</v>
      </c>
      <c r="C7" s="38">
        <f t="shared" ref="C7:C14" si="0">(D7/B7)</f>
        <v>0.94251598617270771</v>
      </c>
      <c r="D7" s="38">
        <v>35.700000000000003</v>
      </c>
      <c r="E7" t="s">
        <v>15</v>
      </c>
      <c r="N7" s="19">
        <f>($B$7+$R$9)/5</f>
        <v>7.7016493257777769</v>
      </c>
      <c r="O7" s="38">
        <f>($S$7*Params!K9)</f>
        <v>1.5080255778763325</v>
      </c>
      <c r="P7" s="38">
        <f>(O7*N7)</f>
        <v>11.614284175106899</v>
      </c>
      <c r="R7" s="19">
        <f>B7</f>
        <v>37.877341629999997</v>
      </c>
      <c r="S7" s="38">
        <f>(T7/R7)</f>
        <v>0.94251598617270771</v>
      </c>
      <c r="T7" s="38">
        <f>D7</f>
        <v>35.700000000000003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7.7016493257777769</v>
      </c>
      <c r="O8" s="38">
        <f>($S$7*Params!K10)</f>
        <v>2.0735351695799573</v>
      </c>
      <c r="P8" s="38">
        <f>(O8*N8)</f>
        <v>15.969640740771986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7.7016493257777769</v>
      </c>
      <c r="O9" s="38">
        <f>($C$7*Params!K11)</f>
        <v>3.7700639446908308</v>
      </c>
      <c r="P9" s="38">
        <f>(O9*N9)</f>
        <v>29.035710437767243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66.056241245920489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0.88079789008191389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52.187153649999992</v>
      </c>
      <c r="S17" s="38"/>
      <c r="T17" s="38">
        <f>(SUM(T5:T12))</f>
        <v>45.966334824300645</v>
      </c>
    </row>
    <row r="18" spans="2:20">
      <c r="B18" s="19">
        <f>(SUM(B5:B17))</f>
        <v>52.187153649999992</v>
      </c>
      <c r="D18" s="38">
        <f>(SUM(D5:D17))</f>
        <v>45.966334824300645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29" priority="23" operator="lessThan">
      <formula>$J$3</formula>
    </cfRule>
    <cfRule type="cellIs" dxfId="128" priority="24" operator="greaterThan">
      <formula>$J$3</formula>
    </cfRule>
  </conditionalFormatting>
  <conditionalFormatting sqref="S8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0.7016467774681665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38.481149009257891</v>
      </c>
      <c r="K4" s="4">
        <f>(J4/D10-1)</f>
        <v>-2.8008360463301685E-2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1.6706249765383359</v>
      </c>
      <c r="M6" t="s">
        <v>11</v>
      </c>
      <c r="N6" s="29">
        <f>($B$10/5)</f>
        <v>10.968809448</v>
      </c>
      <c r="O6" s="38">
        <f>($C$5*Params!K8)</f>
        <v>0.98505771545924514</v>
      </c>
      <c r="P6" s="38">
        <f>(O6*N6)</f>
        <v>10.804910376154664</v>
      </c>
    </row>
    <row r="7" spans="2:16">
      <c r="B7" s="36">
        <v>0.21534154</v>
      </c>
      <c r="C7" s="40">
        <v>0</v>
      </c>
      <c r="D7" s="26">
        <f>(B7*C7)</f>
        <v>0</v>
      </c>
      <c r="E7" s="38">
        <f>(B7*J3)</f>
        <v>0.15109369759603228</v>
      </c>
      <c r="N7" s="29">
        <f>($B$10/5)</f>
        <v>10.968809448</v>
      </c>
      <c r="O7" s="38">
        <f>($C$5*Params!K9)</f>
        <v>1.2123787267190709</v>
      </c>
      <c r="P7" s="38">
        <f>(O7*N7)</f>
        <v>13.298351232190354</v>
      </c>
    </row>
    <row r="8" spans="2:16">
      <c r="N8" s="29">
        <f>($B$10/5)</f>
        <v>10.968809448</v>
      </c>
      <c r="O8" s="38">
        <f>($C$5*Params!K10)</f>
        <v>1.6670207492387226</v>
      </c>
      <c r="P8" s="38">
        <f>(O8*N8)</f>
        <v>18.28523294426174</v>
      </c>
    </row>
    <row r="9" spans="2:16">
      <c r="F9" t="s">
        <v>9</v>
      </c>
      <c r="G9" s="38">
        <f>(D10/B10)</f>
        <v>0.72186503353321818</v>
      </c>
      <c r="N9" s="29">
        <f>($B$10/5)</f>
        <v>10.968809448</v>
      </c>
      <c r="O9" s="38">
        <f>($C$5*Params!K11)</f>
        <v>3.0309468167976772</v>
      </c>
      <c r="P9" s="38">
        <f>(O9*N9)</f>
        <v>33.24587808047589</v>
      </c>
    </row>
    <row r="10" spans="2:16">
      <c r="B10" s="29">
        <f>(SUM(B5:B9))</f>
        <v>54.844047240000002</v>
      </c>
      <c r="D10" s="38">
        <f>(SUM(D5:D9))</f>
        <v>39.590000000000003</v>
      </c>
    </row>
    <row r="11" spans="2:16">
      <c r="P11" s="38">
        <f>(SUM(P6:P9))</f>
        <v>75.634372633082648</v>
      </c>
    </row>
  </sheetData>
  <conditionalFormatting sqref="C5">
    <cfRule type="cellIs" dxfId="125" priority="5" operator="lessThan">
      <formula>$J$3</formula>
    </cfRule>
    <cfRule type="cellIs" dxfId="124" priority="6" operator="greaterThan">
      <formula>$J$3</formula>
    </cfRule>
  </conditionalFormatting>
  <conditionalFormatting sqref="O6:O9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9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1.118843709299902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24.990283377527277</v>
      </c>
      <c r="K4" s="4">
        <f>(J4/D19-1)</f>
        <v>-0.34919567870509816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20.19272295</v>
      </c>
      <c r="C6" s="38">
        <f>(D6/B6)</f>
        <v>1.767963641575145</v>
      </c>
      <c r="D6" s="38">
        <v>35.700000000000003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20.19272295</v>
      </c>
      <c r="S6" s="38">
        <f>(T6/R6)</f>
        <v>1.767963641575145</v>
      </c>
      <c r="T6" s="38">
        <f>D6</f>
        <v>35.700000000000003</v>
      </c>
      <c r="U6" s="38" t="str">
        <f>(E6)</f>
        <v>DCA2</v>
      </c>
    </row>
    <row r="7" spans="2:22">
      <c r="B7" s="2">
        <v>9.5968429999999993E-2</v>
      </c>
      <c r="C7" s="40">
        <v>0</v>
      </c>
      <c r="D7" s="26">
        <v>0</v>
      </c>
      <c r="E7" s="39">
        <f>B7*J3</f>
        <v>0.10737367419688798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9.5968429999999993E-2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0.28677693046636776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0.30182735697394325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4.0657076439999997</v>
      </c>
      <c r="O14" s="38">
        <f>($C$6*Params!K8)</f>
        <v>2.2983527340476884</v>
      </c>
      <c r="P14" s="38">
        <f>(O14*N14)</f>
        <v>9.3444302794259855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4.0657076439999997</v>
      </c>
      <c r="O15" s="38">
        <f>($C$6*Params!K9)</f>
        <v>2.8287418265202322</v>
      </c>
      <c r="P15" s="38">
        <f>(O15*N15)</f>
        <v>11.50083726698583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4.0657076439999997</v>
      </c>
      <c r="O16" s="38">
        <f>($C$6*Params!K10)</f>
        <v>3.8895200114653194</v>
      </c>
      <c r="P16" s="38">
        <f>(O16*N16)</f>
        <v>15.813651242105516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4.0657076439999997</v>
      </c>
      <c r="O17" s="38">
        <f>($C$6*Params!K11)</f>
        <v>7.0718545663005798</v>
      </c>
      <c r="P17" s="38">
        <f>(O17*N17)</f>
        <v>28.752093167464569</v>
      </c>
      <c r="S17" s="38"/>
      <c r="T17" s="38"/>
    </row>
    <row r="18" spans="2:20">
      <c r="C18" s="38"/>
      <c r="D18" s="38"/>
      <c r="F18" t="s">
        <v>9</v>
      </c>
      <c r="G18" s="38">
        <f>(D19/B19)</f>
        <v>1.7191706826312165</v>
      </c>
      <c r="O18" s="38"/>
      <c r="P18" s="38"/>
      <c r="S18" s="38"/>
      <c r="T18" s="38"/>
    </row>
    <row r="19" spans="2:20">
      <c r="B19" s="1">
        <f>(SUM(B5:B18))</f>
        <v>22.335812562385978</v>
      </c>
      <c r="C19" s="38"/>
      <c r="D19" s="38">
        <f>(SUM(D5:D18))</f>
        <v>38.399074130000002</v>
      </c>
      <c r="O19" s="38"/>
      <c r="P19" s="38">
        <f>(SUM(P14:P17))</f>
        <v>65.411011955981905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22.335812562385982</v>
      </c>
      <c r="S22" s="38"/>
      <c r="T22" s="38">
        <f>(SUM(T5:T21))</f>
        <v>38.399074130000002</v>
      </c>
    </row>
  </sheetData>
  <conditionalFormatting sqref="C5:C6 C12:C14 C16:C17 O6:O9 O14:O17 S5:S6">
    <cfRule type="cellIs" dxfId="119" priority="17" operator="lessThan">
      <formula>$J$3</formula>
    </cfRule>
    <cfRule type="cellIs" dxfId="11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7.3452763712686616E-6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3.2303152648685782</v>
      </c>
      <c r="K4" s="4">
        <f>(J4/D13-1)</f>
        <v>-0.3577902057915352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249.63</v>
      </c>
      <c r="C6" s="40">
        <v>0</v>
      </c>
      <c r="D6" s="26">
        <f>(B6*C6)</f>
        <v>0</v>
      </c>
      <c r="E6" s="38">
        <f>(B6*J3)</f>
        <v>1.8336013405597959E-3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1.1437502880693134E-5</v>
      </c>
    </row>
    <row r="13" spans="2:16">
      <c r="B13">
        <f>(SUM(B5:B12))</f>
        <v>439781.31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J3">
    <cfRule type="cellIs" dxfId="115" priority="3" operator="lessThan">
      <formula>$J$3</formula>
    </cfRule>
    <cfRule type="cellIs" dxfId="114" priority="4" operator="greaterThan">
      <formula>$J$3</formula>
    </cfRule>
  </conditionalFormatting>
  <conditionalFormatting sqref="O6:O9">
    <cfRule type="cellIs" dxfId="113" priority="1" operator="lessThan">
      <formula>$J$3</formula>
    </cfRule>
    <cfRule type="cellIs" dxfId="11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4"/>
  <sheetViews>
    <sheetView workbookViewId="0">
      <selection activeCell="Q9" sqref="Q9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30.03376627222536</v>
      </c>
      <c r="M3" t="s">
        <v>4</v>
      </c>
      <c r="N3" s="24">
        <f>(INDEX(N5:N26,MATCH(MAX(O6:O7,O23,O14:O15),O5:O26,0))/0.9)</f>
        <v>2.3156893333333328</v>
      </c>
      <c r="O3" s="39">
        <f>(MAX(O14:O15,O23,O6:O7)*0.85)</f>
        <v>26.685980787259613</v>
      </c>
      <c r="P3" s="38">
        <f>(O3*N3)</f>
        <v>61.796441058595342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(B40*J3)</f>
        <v>177.80498948769238</v>
      </c>
      <c r="K4" s="4">
        <f>(J4/D40-1)</f>
        <v>0.32486590078221145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-D36</f>
        <v>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C38</f>
        <v>31.194569999999995</v>
      </c>
      <c r="P8" s="38">
        <f>-D38</f>
        <v>3.1194569999999997</v>
      </c>
      <c r="Q8" t="s">
        <v>12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12.910184906139648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6.3070909171673253E-2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5.5865783799999997</v>
      </c>
      <c r="S13" s="38">
        <f>(T13/R13)</f>
        <v>19.610863671441052</v>
      </c>
      <c r="T13" s="38">
        <f>(D17+11.97*B21)</f>
        <v>109.557627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0.18503842444214344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5.5952000000000002E-2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1.5851161095622752E-2</v>
      </c>
      <c r="N15" s="24">
        <f>(2*($R$13+N14+$R$21)/5-N14)</f>
        <v>2.0841203999999998</v>
      </c>
      <c r="O15" s="38">
        <f>C37</f>
        <v>31.395271514423076</v>
      </c>
      <c r="P15" s="38">
        <f>(O15*N15)</f>
        <v>65.431525826748015</v>
      </c>
      <c r="Q15" t="s">
        <v>12</v>
      </c>
      <c r="R15" s="24">
        <f>B19+B22</f>
        <v>1.7197902600000001</v>
      </c>
      <c r="S15" s="38">
        <f>(T15/R15)</f>
        <v>20.234941905066961</v>
      </c>
      <c r="T15" s="38">
        <f>(D19+12.6*B22)</f>
        <v>34.799856000000005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1.1825101999999998</v>
      </c>
      <c r="O16" s="38">
        <f>($S$13*Params!K10)</f>
        <v>43.143900077170315</v>
      </c>
      <c r="P16" s="38">
        <f>(O16*N16)</f>
        <v>51.018101909034677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5.8674783799999997</v>
      </c>
      <c r="C17" s="38">
        <f>(D17/B17)</f>
        <v>19.24506452122624</v>
      </c>
      <c r="D17" s="38">
        <v>112.92</v>
      </c>
      <c r="E17" t="s">
        <v>10</v>
      </c>
      <c r="N17" s="24">
        <f>(($R$13+N14+$R$21)/5)</f>
        <v>1.1825101999999998</v>
      </c>
      <c r="O17" s="38">
        <f>($S$13*Params!K11)</f>
        <v>78.443454685764209</v>
      </c>
      <c r="P17" s="38">
        <f>(O17*N17)</f>
        <v>92.760185289153966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5.5952000000000002E-2</v>
      </c>
      <c r="C18" s="40">
        <v>0</v>
      </c>
      <c r="D18" s="26">
        <v>0</v>
      </c>
      <c r="E18" s="39">
        <f>B18*J3</f>
        <v>1.6804492904635535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1.7912302600000001</v>
      </c>
      <c r="C19" s="38">
        <f t="shared" ref="C19:C32" si="1">(D19/B19)</f>
        <v>19.930435967512071</v>
      </c>
      <c r="D19" s="38">
        <v>35.700000000000003</v>
      </c>
      <c r="E19" t="s">
        <v>15</v>
      </c>
      <c r="O19" s="38"/>
      <c r="P19" s="38">
        <f>(SUM(P14:P17))</f>
        <v>213.41201302493664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0.26162920840138382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1.5979966410242321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1.8088524543568301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>
        <f>B37</f>
        <v>-2.08</v>
      </c>
      <c r="S23" s="39">
        <f>T23/R23</f>
        <v>31.395271514423076</v>
      </c>
      <c r="T23" s="38">
        <f>D37</f>
        <v>-65.302164750000003</v>
      </c>
      <c r="U23" t="s">
        <v>88</v>
      </c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0.64760587600000008</v>
      </c>
      <c r="O24" s="38">
        <f>($S$15*Params!K9)</f>
        <v>32.375907048107138</v>
      </c>
      <c r="P24" s="38">
        <f>(O24*N24)</f>
        <v>20.966827645184001</v>
      </c>
      <c r="R24" s="24">
        <f>B38</f>
        <v>-0.1</v>
      </c>
      <c r="S24" s="38">
        <f>T24/R24</f>
        <v>31.194569999999995</v>
      </c>
      <c r="T24" s="38">
        <f>D38</f>
        <v>-3.1194569999999997</v>
      </c>
      <c r="U24" t="s">
        <v>89</v>
      </c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0.35952293800000001</v>
      </c>
      <c r="O25" s="38">
        <f>($S$15*Params!K10)</f>
        <v>44.516872191147321</v>
      </c>
      <c r="P25" s="38">
        <f>(O25*N25)</f>
        <v>16.004836680731785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0.35952293800000001</v>
      </c>
      <c r="O26" s="38">
        <f>($S$15*Params!K11)</f>
        <v>80.939767620267844</v>
      </c>
      <c r="P26" s="38">
        <f>(O26*N26)</f>
        <v>29.099703055875963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67.234470901791752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 t="shared" ref="C33:C38" si="2"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 t="shared" si="2"/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 t="shared" si="2"/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 t="shared" si="2"/>
        <v>23.941203491042717</v>
      </c>
      <c r="D36" s="38">
        <v>-2.6059999999999999</v>
      </c>
      <c r="E36" s="38"/>
      <c r="S36" s="38"/>
      <c r="T36" s="38"/>
    </row>
    <row r="37" spans="2:23">
      <c r="B37" s="24">
        <v>-2.08</v>
      </c>
      <c r="C37" s="38">
        <f t="shared" si="2"/>
        <v>31.395271514423076</v>
      </c>
      <c r="D37" s="38">
        <v>-65.302164750000003</v>
      </c>
      <c r="E37" s="38"/>
      <c r="S37" s="38"/>
      <c r="T37" s="38"/>
    </row>
    <row r="38" spans="2:23">
      <c r="B38" s="24">
        <v>-0.1</v>
      </c>
      <c r="C38" s="38">
        <f t="shared" si="2"/>
        <v>31.194569999999995</v>
      </c>
      <c r="D38" s="38">
        <f>-3.1462+0.026743</f>
        <v>-3.1194569999999997</v>
      </c>
      <c r="E38" s="38"/>
      <c r="S38" s="38"/>
      <c r="T38" s="38"/>
    </row>
    <row r="39" spans="2:23">
      <c r="C39" s="38"/>
      <c r="D39" s="38"/>
      <c r="E39" s="38"/>
      <c r="S39" s="38"/>
      <c r="T39" s="38"/>
    </row>
    <row r="40" spans="2:23">
      <c r="B40" s="24">
        <f>(SUM(B5:B39))</f>
        <v>5.9201695810000015</v>
      </c>
      <c r="C40" s="38"/>
      <c r="D40" s="38">
        <f>(SUM(D5:D39))</f>
        <v>134.20602747999996</v>
      </c>
      <c r="E40" s="38"/>
      <c r="F40" t="s">
        <v>9</v>
      </c>
      <c r="G40" s="38">
        <f>(D40/B40)</f>
        <v>22.669287702621965</v>
      </c>
      <c r="R40" s="24">
        <f>(SUM(R5:R36))</f>
        <v>5.9201695809999997</v>
      </c>
      <c r="S40" s="38"/>
      <c r="T40" s="38">
        <f>(SUM(T5:T36))</f>
        <v>134.20366792000002</v>
      </c>
      <c r="V40" t="s">
        <v>9</v>
      </c>
      <c r="W40" s="38">
        <f>(T40/R40)</f>
        <v>22.668889139714665</v>
      </c>
    </row>
    <row r="41" spans="2:23">
      <c r="M41" s="24"/>
      <c r="S41" s="38"/>
      <c r="T41" s="38"/>
    </row>
    <row r="44" spans="2:23">
      <c r="N44" s="24"/>
    </row>
  </sheetData>
  <conditionalFormatting sqref="C5 C8:C10 S5">
    <cfRule type="cellIs" dxfId="111" priority="95" operator="lessThan">
      <formula>$J$3</formula>
    </cfRule>
    <cfRule type="cellIs" dxfId="110" priority="96" operator="greaterThan">
      <formula>$J$3</formula>
    </cfRule>
  </conditionalFormatting>
  <conditionalFormatting sqref="C16:C17">
    <cfRule type="cellIs" dxfId="109" priority="79" operator="lessThan">
      <formula>$J$3</formula>
    </cfRule>
    <cfRule type="cellIs" dxfId="108" priority="80" operator="greaterThan">
      <formula>$J$3</formula>
    </cfRule>
    <cfRule type="cellIs" dxfId="107" priority="81" operator="lessThan">
      <formula>$J$3</formula>
    </cfRule>
    <cfRule type="cellIs" dxfId="106" priority="82" operator="greaterThan">
      <formula>$J$3</formula>
    </cfRule>
    <cfRule type="cellIs" dxfId="105" priority="89" operator="lessThan">
      <formula>$J$3</formula>
    </cfRule>
    <cfRule type="cellIs" dxfId="104" priority="90" operator="greaterThan">
      <formula>$J$3</formula>
    </cfRule>
  </conditionalFormatting>
  <conditionalFormatting sqref="C19:C20 G40">
    <cfRule type="cellIs" dxfId="103" priority="73" operator="lessThan">
      <formula>$J$3</formula>
    </cfRule>
    <cfRule type="cellIs" dxfId="102" priority="74" operator="greaterThan">
      <formula>$J$3</formula>
    </cfRule>
    <cfRule type="cellIs" dxfId="101" priority="75" operator="lessThan">
      <formula>$J$3</formula>
    </cfRule>
    <cfRule type="cellIs" dxfId="100" priority="76" operator="greaterThan">
      <formula>$J$3</formula>
    </cfRule>
    <cfRule type="cellIs" dxfId="99" priority="77" operator="lessThan">
      <formula>$J$3</formula>
    </cfRule>
    <cfRule type="cellIs" dxfId="98" priority="78" operator="greaterThan">
      <formula>$J$3</formula>
    </cfRule>
    <cfRule type="cellIs" dxfId="97" priority="87" operator="lessThan">
      <formula>$J$3</formula>
    </cfRule>
    <cfRule type="cellIs" dxfId="96" priority="88" operator="greaterThan">
      <formula>$J$3</formula>
    </cfRule>
  </conditionalFormatting>
  <conditionalFormatting sqref="C27:C28 C30:C31 C34:C35">
    <cfRule type="cellIs" dxfId="95" priority="65" operator="lessThan">
      <formula>$J$3</formula>
    </cfRule>
    <cfRule type="cellIs" dxfId="94" priority="66" operator="greaterThan">
      <formula>$J$3</formula>
    </cfRule>
    <cfRule type="cellIs" dxfId="93" priority="67" operator="lessThan">
      <formula>$J$3</formula>
    </cfRule>
    <cfRule type="cellIs" dxfId="92" priority="68" operator="greaterThan">
      <formula>$J$3</formula>
    </cfRule>
    <cfRule type="cellIs" dxfId="91" priority="69" operator="lessThan">
      <formula>$J$3</formula>
    </cfRule>
    <cfRule type="cellIs" dxfId="90" priority="70" operator="greaterThan">
      <formula>$J$3</formula>
    </cfRule>
    <cfRule type="cellIs" dxfId="89" priority="71" operator="lessThan">
      <formula>$J$3</formula>
    </cfRule>
    <cfRule type="cellIs" dxfId="88" priority="72" operator="greaterThan">
      <formula>$J$3</formula>
    </cfRule>
    <cfRule type="cellIs" dxfId="87" priority="85" operator="lessThan">
      <formula>$J$3</formula>
    </cfRule>
    <cfRule type="cellIs" dxfId="86" priority="86" operator="greaterThan">
      <formula>$J$3</formula>
    </cfRule>
  </conditionalFormatting>
  <conditionalFormatting sqref="O9 O16:O17 O24:O26 S12:S13 S15:S16">
    <cfRule type="cellIs" dxfId="85" priority="59" operator="lessThan">
      <formula>$J$3</formula>
    </cfRule>
    <cfRule type="cellIs" dxfId="84" priority="60" operator="greaterThan">
      <formula>$J$3</formula>
    </cfRule>
    <cfRule type="cellIs" dxfId="83" priority="61" operator="lessThan">
      <formula>$J$3</formula>
    </cfRule>
    <cfRule type="cellIs" dxfId="82" priority="62" operator="greaterThan">
      <formula>$J$3</formula>
    </cfRule>
  </conditionalFormatting>
  <conditionalFormatting sqref="O3">
    <cfRule type="cellIs" dxfId="81" priority="41" operator="greaterThan">
      <formula>$J$3</formula>
    </cfRule>
    <cfRule type="cellIs" dxfId="80" priority="42" operator="lessThan">
      <formula>$J$3</formula>
    </cfRule>
  </conditionalFormatting>
  <conditionalFormatting sqref="W40">
    <cfRule type="cellIs" dxfId="79" priority="11" operator="lessThan">
      <formula>$J$3</formula>
    </cfRule>
    <cfRule type="cellIs" dxfId="78" priority="12" operator="greaterThan">
      <formula>$J$3</formula>
    </cfRule>
    <cfRule type="cellIs" dxfId="77" priority="13" operator="lessThan">
      <formula>$J$3</formula>
    </cfRule>
    <cfRule type="cellIs" dxfId="76" priority="14" operator="greaterThan">
      <formula>$J$3</formula>
    </cfRule>
    <cfRule type="cellIs" dxfId="75" priority="15" operator="lessThan">
      <formula>$J$3</formula>
    </cfRule>
    <cfRule type="cellIs" dxfId="74" priority="16" operator="greaterThan">
      <formula>$J$3</formula>
    </cfRule>
    <cfRule type="cellIs" dxfId="73" priority="17" operator="lessThan">
      <formula>$J$3</formula>
    </cfRule>
    <cfRule type="cellIs" dxfId="72" priority="1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9.2145865148572606E-2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0.8582301768152224</v>
      </c>
      <c r="K4" s="4">
        <f>(J4/D13-1)</f>
        <v>0.7164603536304448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0.21256353</v>
      </c>
      <c r="C6" s="40">
        <v>0</v>
      </c>
      <c r="D6" s="26">
        <f>(B6*C6)</f>
        <v>0</v>
      </c>
      <c r="E6" s="38">
        <f>(B6*J3)</f>
        <v>1.9586850370884569E-2</v>
      </c>
      <c r="G6" s="38"/>
      <c r="M6" t="s">
        <v>11</v>
      </c>
      <c r="N6" s="19">
        <f>($B$13/5)</f>
        <v>1.8627643800000002</v>
      </c>
      <c r="O6" s="35">
        <f>($C$5*Params!K8)</f>
        <v>7.1418695478700056E-2</v>
      </c>
      <c r="P6" s="38">
        <f>(O6*N6)</f>
        <v>0.13303620200378952</v>
      </c>
      <c r="Q6" s="38">
        <f>N6*$J$3</f>
        <v>0.17164603536304449</v>
      </c>
    </row>
    <row r="7" spans="2:17">
      <c r="C7" s="38"/>
      <c r="D7" s="38"/>
      <c r="E7" s="38"/>
      <c r="G7" s="38"/>
      <c r="N7" s="19">
        <f>($B$13/5)</f>
        <v>1.8627643800000002</v>
      </c>
      <c r="O7" s="35">
        <f>($C$5*Params!K9)</f>
        <v>8.7899932896861599E-2</v>
      </c>
      <c r="P7" s="38">
        <f>(O7*N7)</f>
        <v>0.16373686400466403</v>
      </c>
      <c r="Q7" s="38">
        <f>Q6*2</f>
        <v>0.34329207072608897</v>
      </c>
    </row>
    <row r="8" spans="2:17">
      <c r="C8" s="38"/>
      <c r="D8" s="38"/>
      <c r="E8" s="38"/>
      <c r="G8" s="38"/>
      <c r="N8" s="19">
        <f>($B$13/5)</f>
        <v>1.8627643800000002</v>
      </c>
      <c r="O8" s="35">
        <f>($C$5*Params!K10)</f>
        <v>0.12086240773318471</v>
      </c>
      <c r="P8" s="38">
        <f>(O8*N8)</f>
        <v>0.22513818800641305</v>
      </c>
      <c r="Q8" s="38"/>
    </row>
    <row r="9" spans="2:17">
      <c r="C9" s="38"/>
      <c r="D9" s="38"/>
      <c r="E9" s="38"/>
      <c r="G9" s="38"/>
      <c r="N9" s="19">
        <f>($B$13/5)</f>
        <v>1.8627643800000002</v>
      </c>
      <c r="O9" s="35">
        <f>($C$5*Params!K11)</f>
        <v>0.219749832242154</v>
      </c>
      <c r="P9" s="38">
        <f>(O9*N9)</f>
        <v>0.40934216001166007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0.93125341402652673</v>
      </c>
    </row>
    <row r="12" spans="2:17">
      <c r="C12" s="38"/>
      <c r="D12" s="38"/>
      <c r="E12" s="38"/>
      <c r="F12" t="s">
        <v>9</v>
      </c>
      <c r="G12" s="38">
        <f>(D13/B13)</f>
        <v>5.3683654827026479E-2</v>
      </c>
    </row>
    <row r="13" spans="2:17">
      <c r="B13">
        <f>(SUM(B5:B12))</f>
        <v>9.3138219000000007</v>
      </c>
      <c r="C13" s="38"/>
      <c r="D13" s="38">
        <f>(SUM(D5:D12))</f>
        <v>0.5</v>
      </c>
      <c r="E13" s="38"/>
      <c r="G13" s="38"/>
    </row>
  </sheetData>
  <conditionalFormatting sqref="C5">
    <cfRule type="cellIs" dxfId="71" priority="7" operator="lessThan">
      <formula>$J$3</formula>
    </cfRule>
    <cfRule type="cellIs" dxfId="70" priority="8" operator="greaterThan">
      <formula>$J$3</formula>
    </cfRule>
  </conditionalFormatting>
  <conditionalFormatting sqref="O6:O9">
    <cfRule type="cellIs" dxfId="69" priority="5" operator="lessThan">
      <formula>$J$3</formula>
    </cfRule>
    <cfRule type="cellIs" dxfId="68" priority="6" operator="greaterThan">
      <formula>$J$3</formula>
    </cfRule>
    <cfRule type="cellIs" dxfId="67" priority="1" operator="lessThan">
      <formula>$J$3</formula>
    </cfRule>
    <cfRule type="cellIs" dxfId="6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4.152591260780822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7.5527957722880217</v>
      </c>
      <c r="K4" s="4">
        <f>(J4/D10-1)</f>
        <v>-0.24847803260815715</v>
      </c>
      <c r="O4" s="38"/>
      <c r="P4" s="38"/>
    </row>
    <row r="5" spans="2:16">
      <c r="B5" s="1">
        <v>1.81639438</v>
      </c>
      <c r="C5" s="38">
        <f>(D5/B5)</f>
        <v>5.5329393829108859</v>
      </c>
      <c r="D5" s="38">
        <v>10.050000000000001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2.4207399999999998E-3</v>
      </c>
      <c r="C6" s="40">
        <v>0</v>
      </c>
      <c r="D6" s="40">
        <f>(B6*C6)</f>
        <v>0</v>
      </c>
      <c r="E6" s="38">
        <f>(B6*J3)</f>
        <v>1.0052343768622567E-2</v>
      </c>
      <c r="G6" s="38"/>
      <c r="H6" s="38"/>
      <c r="J6" s="38"/>
      <c r="M6" t="s">
        <v>11</v>
      </c>
      <c r="N6" s="1">
        <f>($B$5/5)</f>
        <v>0.36327887599999997</v>
      </c>
      <c r="O6" s="35">
        <f>($C$5*Params!K8)</f>
        <v>7.1928211977841521</v>
      </c>
      <c r="P6" s="38">
        <f>(O6*N6)</f>
        <v>2.6130000000000004</v>
      </c>
    </row>
    <row r="7" spans="2:16">
      <c r="C7" s="38"/>
      <c r="D7" s="38"/>
      <c r="E7" s="38"/>
      <c r="G7" s="38"/>
      <c r="H7" s="38"/>
      <c r="J7" s="38"/>
      <c r="N7" s="1">
        <f>($B$5/5)</f>
        <v>0.36327887599999997</v>
      </c>
      <c r="O7" s="35">
        <f>($C$5*Params!K9)</f>
        <v>8.8527030126574182</v>
      </c>
      <c r="P7" s="38">
        <f>(O7*N7)</f>
        <v>3.2160000000000006</v>
      </c>
    </row>
    <row r="8" spans="2:16">
      <c r="C8" s="38"/>
      <c r="D8" s="38"/>
      <c r="E8" s="38"/>
      <c r="G8" s="38"/>
      <c r="H8" s="38"/>
      <c r="J8" s="38"/>
      <c r="N8" s="1">
        <f>($B$5/5)</f>
        <v>0.36327887599999997</v>
      </c>
      <c r="O8" s="35">
        <f>($C$5*Params!K10)</f>
        <v>12.17246664240395</v>
      </c>
      <c r="P8" s="38">
        <f>(O8*N8)</f>
        <v>4.4220000000000006</v>
      </c>
    </row>
    <row r="9" spans="2:16">
      <c r="C9" s="38"/>
      <c r="D9" s="38"/>
      <c r="E9" s="38"/>
      <c r="F9" t="s">
        <v>9</v>
      </c>
      <c r="G9" s="38">
        <f>(D10/B10)</f>
        <v>5.5255753536951024</v>
      </c>
      <c r="H9" s="38"/>
      <c r="J9" s="38"/>
      <c r="N9" s="1">
        <f>($B$5/5)</f>
        <v>0.36327887599999997</v>
      </c>
      <c r="O9" s="35">
        <f>($C$5*Params!K11)</f>
        <v>22.131757531643544</v>
      </c>
      <c r="P9" s="38">
        <f>(O9*N9)</f>
        <v>8.0400000000000009</v>
      </c>
    </row>
    <row r="10" spans="2:16">
      <c r="B10" s="1">
        <f>(SUM(B5:B9))</f>
        <v>1.81881512</v>
      </c>
      <c r="C10" s="38"/>
      <c r="D10" s="38">
        <f>(SUM(D5:D9))</f>
        <v>10.050000000000001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18.291000000000004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65" priority="5" operator="lessThan">
      <formula>$J$3</formula>
    </cfRule>
    <cfRule type="cellIs" dxfId="64" priority="6" operator="greaterThan">
      <formula>$J$3</formula>
    </cfRule>
  </conditionalFormatting>
  <conditionalFormatting sqref="O6:O9">
    <cfRule type="cellIs" dxfId="63" priority="3" operator="lessThan">
      <formula>$J$3</formula>
    </cfRule>
    <cfRule type="cellIs" dxfId="62" priority="4" operator="greaterThan">
      <formula>$J$3</formula>
    </cfRule>
  </conditionalFormatting>
  <conditionalFormatting sqref="G9">
    <cfRule type="cellIs" dxfId="61" priority="1" operator="lessThan">
      <formula>$J$3</formula>
    </cfRule>
    <cfRule type="cellIs" dxfId="6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0.5564982232608856</v>
      </c>
      <c r="M3" t="s">
        <v>4</v>
      </c>
      <c r="N3" s="19">
        <f>(INDEX(N5:N14,MATCH(MAX(O6:O7),O5:O14,0))/0.9)</f>
        <v>11.441378022222223</v>
      </c>
      <c r="O3" s="37">
        <f>(MAX(O6:O7)*0.85)</f>
        <v>0.48540838895304461</v>
      </c>
      <c r="P3" s="38">
        <f>(O3*N3)</f>
        <v>5.5537408731696605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17.191187660761596</v>
      </c>
      <c r="K4" s="4">
        <f>(J4/D14-1)</f>
        <v>6.3523721757632172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54.298995060000003</v>
      </c>
      <c r="S5" s="38">
        <f>(T5/R5)</f>
        <v>0.35175604960818591</v>
      </c>
      <c r="T5" s="38">
        <f>(SUM(D5:D7))</f>
        <v>19.100000000000001</v>
      </c>
    </row>
    <row r="6" spans="2:20">
      <c r="B6" s="20">
        <v>0.72398359000000001</v>
      </c>
      <c r="C6" s="40">
        <v>0</v>
      </c>
      <c r="D6" s="40">
        <f>(B6*C6)</f>
        <v>0</v>
      </c>
      <c r="E6" s="38">
        <f>(B6*J3)</f>
        <v>0.40289558150503746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10.297240220000001</v>
      </c>
      <c r="O7" s="38">
        <f>($C$5*Params!K9)</f>
        <v>0.57106869288593487</v>
      </c>
      <c r="P7" s="38">
        <f>(O7*N7)</f>
        <v>5.8804315127678768</v>
      </c>
      <c r="Q7" t="s">
        <v>12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10.297240220000001</v>
      </c>
      <c r="O8" s="38">
        <f>($C$5*Params!K10)</f>
        <v>0.78521945271816052</v>
      </c>
      <c r="P8" s="38">
        <f>(O8*N8)</f>
        <v>8.0855933300558309</v>
      </c>
      <c r="R8" s="19">
        <f>B12</f>
        <v>-15.44</v>
      </c>
      <c r="S8" s="39">
        <f>C12</f>
        <v>0.56901544106217616</v>
      </c>
      <c r="T8" s="39">
        <f>D12</f>
        <v>-8.7855984100000004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10.297240220000001</v>
      </c>
      <c r="O9" s="38">
        <f>($C$5*Params!K11)</f>
        <v>1.4276717322148371</v>
      </c>
      <c r="P9" s="38">
        <f>(O9*N9)</f>
        <v>14.701078781919692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33.719800984743401</v>
      </c>
    </row>
    <row r="12" spans="2:20">
      <c r="B12" s="19">
        <v>-15.44</v>
      </c>
      <c r="C12" s="39">
        <f>D12/B12</f>
        <v>0.56901544106217616</v>
      </c>
      <c r="D12" s="38">
        <v>-8.7855984100000004</v>
      </c>
    </row>
    <row r="13" spans="2:20">
      <c r="F13" t="s">
        <v>9</v>
      </c>
      <c r="G13" s="38">
        <f>(D14/B14)</f>
        <v>7.5689615535970603E-2</v>
      </c>
    </row>
    <row r="14" spans="2:20">
      <c r="B14" s="19">
        <f>(SUM(B5:B13))</f>
        <v>30.891720660000004</v>
      </c>
      <c r="D14" s="38">
        <f>(SUM(D5:D13))</f>
        <v>2.3381824600000005</v>
      </c>
    </row>
    <row r="18" spans="14:20">
      <c r="R18">
        <f>(SUM(R5:R17))</f>
        <v>30.891720660000004</v>
      </c>
      <c r="T18" s="38">
        <f>(SUM(T5:T17))</f>
        <v>2.3381824600000005</v>
      </c>
    </row>
    <row r="25" spans="14:20">
      <c r="N25" s="19"/>
    </row>
  </sheetData>
  <conditionalFormatting sqref="C5 C7 C10:C11 G13 O8:O9 S5">
    <cfRule type="cellIs" dxfId="59" priority="15" operator="lessThan">
      <formula>$J$3</formula>
    </cfRule>
    <cfRule type="cellIs" dxfId="58" priority="16" operator="greaterThan">
      <formula>$J$3</formula>
    </cfRule>
  </conditionalFormatting>
  <conditionalFormatting sqref="O3">
    <cfRule type="cellIs" dxfId="57" priority="9" operator="greaterThan">
      <formula>$J$3</formula>
    </cfRule>
    <cfRule type="cellIs" dxfId="56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9.0670432512198557E-2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5.0188425551404583</v>
      </c>
      <c r="K4" s="4">
        <f>(J4/D12-1)</f>
        <v>0.76550220602901797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55" priority="23" operator="lessThan">
      <formula>$J$3</formula>
    </cfRule>
    <cfRule type="cellIs" dxfId="54" priority="24" operator="greaterThan">
      <formula>$J$3</formula>
    </cfRule>
  </conditionalFormatting>
  <conditionalFormatting sqref="O3">
    <cfRule type="cellIs" dxfId="53" priority="17" operator="greaterThan">
      <formula>$J$3</formula>
    </cfRule>
    <cfRule type="cellIs" dxfId="52" priority="18" operator="lessThan">
      <formula>$J$3</formula>
    </cfRule>
  </conditionalFormatting>
  <conditionalFormatting sqref="W36">
    <cfRule type="cellIs" dxfId="51" priority="1" operator="lessThan">
      <formula>$J$3</formula>
    </cfRule>
    <cfRule type="cellIs" dxfId="50" priority="2" operator="greaterThan">
      <formula>$J$3</formula>
    </cfRule>
    <cfRule type="cellIs" dxfId="49" priority="3" operator="lessThan">
      <formula>$J$3</formula>
    </cfRule>
    <cfRule type="cellIs" dxfId="48" priority="4" operator="greaterThan">
      <formula>$J$3</formula>
    </cfRule>
    <cfRule type="cellIs" dxfId="47" priority="5" operator="lessThan">
      <formula>$J$3</formula>
    </cfRule>
    <cfRule type="cellIs" dxfId="46" priority="6" operator="greaterThan">
      <formula>$J$3</formula>
    </cfRule>
    <cfRule type="cellIs" dxfId="45" priority="7" operator="lessThan">
      <formula>$J$3</formula>
    </cfRule>
    <cfRule type="cellIs" dxfId="44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0.62059436482779073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1.8148158923588402</v>
      </c>
      <c r="K4" s="4">
        <f>(J4/D10-1)</f>
        <v>-0.39506136921371993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43" priority="5" operator="lessThan">
      <formula>$J$3</formula>
    </cfRule>
    <cfRule type="cellIs" dxfId="42" priority="6" operator="greaterThan">
      <formula>$J$3</formula>
    </cfRule>
  </conditionalFormatting>
  <conditionalFormatting sqref="G9">
    <cfRule type="cellIs" dxfId="41" priority="3" operator="lessThan">
      <formula>$J$3</formula>
    </cfRule>
    <cfRule type="cellIs" dxfId="40" priority="4" operator="greaterThan">
      <formula>$J$3</formula>
    </cfRule>
  </conditionalFormatting>
  <conditionalFormatting sqref="O6:O9">
    <cfRule type="cellIs" dxfId="39" priority="1" operator="lessThan">
      <formula>$J$3</formula>
    </cfRule>
    <cfRule type="cellIs" dxfId="38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tabSelected="1"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3.9633996335364536E-3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2.3756617403417501</v>
      </c>
      <c r="K4" s="4">
        <f>(J4/D10-1)</f>
        <v>-0.20811275321941658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37" priority="5" operator="lessThan">
      <formula>$J$3</formula>
    </cfRule>
    <cfRule type="cellIs" dxfId="36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0.14898657468975629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0.90640452309753938</v>
      </c>
      <c r="K4" s="4">
        <f>(J4/D9-1)</f>
        <v>-0.96860124296134631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55" priority="9" operator="lessThan">
      <formula>$J$3</formula>
    </cfRule>
    <cfRule type="cellIs" dxfId="254" priority="10" operator="greaterThan">
      <formula>$J$3</formula>
    </cfRule>
  </conditionalFormatting>
  <conditionalFormatting sqref="O11:O14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O20:O23">
    <cfRule type="cellIs" dxfId="251" priority="5" operator="lessThan">
      <formula>$J$3</formula>
    </cfRule>
    <cfRule type="cellIs" dxfId="250" priority="6" operator="greaterThan">
      <formula>$J$3</formula>
    </cfRule>
  </conditionalFormatting>
  <conditionalFormatting sqref="O29:O32">
    <cfRule type="cellIs" dxfId="249" priority="3" operator="lessThan">
      <formula>$J$3</formula>
    </cfRule>
    <cfRule type="cellIs" dxfId="248" priority="4" operator="greaterThan">
      <formula>$J$3</formula>
    </cfRule>
  </conditionalFormatting>
  <conditionalFormatting sqref="N6">
    <cfRule type="cellIs" dxfId="247" priority="1" operator="lessThan">
      <formula>$J$3</formula>
    </cfRule>
    <cfRule type="cellIs" dxfId="24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L46" sqref="L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676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1.739715589040612E-3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6.8682760308181123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-52.843999999999937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-262.0857239691818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-179.82572396918181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676</v>
      </c>
      <c r="E34">
        <f t="shared" ref="E34:E40" si="1">C34*D34</f>
        <v>4227.7039999999997</v>
      </c>
      <c r="F34" s="29">
        <f t="shared" ref="F34:F40" si="2">E34*$N$5</f>
        <v>3521.6774319999995</v>
      </c>
      <c r="G34" s="38">
        <v>3.5</v>
      </c>
      <c r="H34" s="30">
        <f>G50</f>
        <v>1.5615590400000001</v>
      </c>
      <c r="I34" s="39">
        <f t="shared" ref="I34:I41" si="3">((F34-H34*D34)*$J$3-G34)</f>
        <v>0.79024915097849124</v>
      </c>
      <c r="J34">
        <v>1</v>
      </c>
      <c r="K34" s="44">
        <f t="shared" ref="K34:K40" si="4">I34*J34</f>
        <v>0.79024915097849124</v>
      </c>
      <c r="L34" s="31">
        <v>24.8</v>
      </c>
      <c r="M34" s="31">
        <f t="shared" ref="M34:M40" si="5">L34*J34</f>
        <v>24.8</v>
      </c>
    </row>
    <row r="35" spans="2:16">
      <c r="B35" s="8" t="s">
        <v>42</v>
      </c>
      <c r="C35">
        <v>0.96599999999999997</v>
      </c>
      <c r="D35">
        <f>$H$2</f>
        <v>676</v>
      </c>
      <c r="E35">
        <f t="shared" si="1"/>
        <v>653.01599999999996</v>
      </c>
      <c r="F35" s="29">
        <f t="shared" si="2"/>
        <v>543.96232799999996</v>
      </c>
      <c r="G35" s="38">
        <v>3.5</v>
      </c>
      <c r="H35" s="30">
        <f>G51</f>
        <v>0.21337130135885166</v>
      </c>
      <c r="I35" s="39">
        <f t="shared" si="3"/>
        <v>-2.8045950944856219</v>
      </c>
      <c r="J35">
        <v>1</v>
      </c>
      <c r="K35" s="44">
        <f t="shared" si="4"/>
        <v>-2.8045950944856219</v>
      </c>
      <c r="L35" s="31">
        <v>6.6</v>
      </c>
      <c r="M35" s="31">
        <f t="shared" si="5"/>
        <v>6.6</v>
      </c>
    </row>
    <row r="36" spans="2:16">
      <c r="B36" s="8" t="s">
        <v>44</v>
      </c>
      <c r="C36">
        <v>0.85099999999999998</v>
      </c>
      <c r="D36">
        <f>$H$2</f>
        <v>676</v>
      </c>
      <c r="E36">
        <f t="shared" si="1"/>
        <v>575.27599999999995</v>
      </c>
      <c r="F36" s="29">
        <f t="shared" si="2"/>
        <v>479.20490799999993</v>
      </c>
      <c r="G36" s="38">
        <v>3.5</v>
      </c>
      <c r="H36" s="30">
        <f>G52</f>
        <v>0.18479602162162162</v>
      </c>
      <c r="I36" s="39">
        <f t="shared" si="3"/>
        <v>-2.883648694462515</v>
      </c>
      <c r="J36">
        <v>1</v>
      </c>
      <c r="K36" s="44">
        <f t="shared" si="4"/>
        <v>-2.883648694462515</v>
      </c>
      <c r="L36" s="31">
        <v>5.15</v>
      </c>
      <c r="M36" s="31">
        <f t="shared" si="5"/>
        <v>5.15</v>
      </c>
    </row>
    <row r="37" spans="2:16">
      <c r="B37" s="8" t="s">
        <v>44</v>
      </c>
      <c r="C37">
        <v>0.85099999999999998</v>
      </c>
      <c r="D37">
        <f>$H$2-34</f>
        <v>642</v>
      </c>
      <c r="E37">
        <f t="shared" si="1"/>
        <v>546.34199999999998</v>
      </c>
      <c r="F37" s="29">
        <f t="shared" si="2"/>
        <v>455.10288599999996</v>
      </c>
      <c r="G37" s="38">
        <v>0</v>
      </c>
      <c r="H37" s="30">
        <f>G52</f>
        <v>0.18479602162162162</v>
      </c>
      <c r="I37" s="39">
        <f t="shared" si="3"/>
        <v>0.58535138780335128</v>
      </c>
      <c r="J37">
        <v>3</v>
      </c>
      <c r="K37" s="44">
        <f t="shared" si="4"/>
        <v>1.7560541634100537</v>
      </c>
      <c r="L37" s="31">
        <f>L36</f>
        <v>5.15</v>
      </c>
      <c r="M37" s="31">
        <f t="shared" si="5"/>
        <v>15.450000000000001</v>
      </c>
    </row>
    <row r="38" spans="2:16">
      <c r="B38" s="8" t="s">
        <v>44</v>
      </c>
      <c r="C38">
        <v>0.85099999999999998</v>
      </c>
      <c r="D38">
        <f>$H$2-34-58</f>
        <v>584</v>
      </c>
      <c r="E38">
        <f t="shared" si="1"/>
        <v>496.98399999999998</v>
      </c>
      <c r="F38" s="29">
        <f t="shared" si="2"/>
        <v>413.98767199999998</v>
      </c>
      <c r="G38" s="38">
        <v>0</v>
      </c>
      <c r="H38" s="30">
        <f>H37</f>
        <v>0.18479602162162162</v>
      </c>
      <c r="I38" s="39">
        <f t="shared" si="3"/>
        <v>0.53246917519806403</v>
      </c>
      <c r="J38">
        <v>1</v>
      </c>
      <c r="K38" s="44">
        <f t="shared" si="4"/>
        <v>0.53246917519806403</v>
      </c>
      <c r="L38" s="31">
        <f>L37</f>
        <v>5.15</v>
      </c>
      <c r="M38" s="31">
        <f t="shared" si="5"/>
        <v>5.15</v>
      </c>
    </row>
    <row r="39" spans="2:16">
      <c r="B39" s="8" t="s">
        <v>44</v>
      </c>
      <c r="C39">
        <v>0.85099999999999998</v>
      </c>
      <c r="D39">
        <f>$H$2-140</f>
        <v>536</v>
      </c>
      <c r="E39">
        <f t="shared" si="1"/>
        <v>456.13599999999997</v>
      </c>
      <c r="F39" s="29">
        <f t="shared" si="2"/>
        <v>379.96128799999997</v>
      </c>
      <c r="G39" s="38">
        <v>0</v>
      </c>
      <c r="H39" s="30">
        <f>H38</f>
        <v>0.18479602162162162</v>
      </c>
      <c r="I39" s="39">
        <f t="shared" si="3"/>
        <v>0.48870458545575746</v>
      </c>
      <c r="J39">
        <v>1</v>
      </c>
      <c r="K39" s="44">
        <f t="shared" si="4"/>
        <v>0.48870458545575746</v>
      </c>
      <c r="L39" s="31">
        <f>L38</f>
        <v>5.15</v>
      </c>
      <c r="M39" s="31">
        <f t="shared" si="5"/>
        <v>5.15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7.2009383707110158E-2</v>
      </c>
      <c r="J40" s="16">
        <v>1</v>
      </c>
      <c r="K40" s="46">
        <f t="shared" si="4"/>
        <v>7.2009383707110158E-2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402</v>
      </c>
      <c r="E41">
        <f>(C41*D41)</f>
        <v>342.10199999999998</v>
      </c>
      <c r="F41" s="29">
        <f>(E41*$N$5)</f>
        <v>284.97096599999998</v>
      </c>
      <c r="G41" s="38">
        <v>0</v>
      </c>
      <c r="H41" s="29">
        <f>(H37)</f>
        <v>0.18479602162162162</v>
      </c>
      <c r="I41" s="39">
        <f t="shared" si="3"/>
        <v>0.36652843909181804</v>
      </c>
      <c r="J41">
        <v>1</v>
      </c>
      <c r="K41" s="44">
        <f>(I41*J41)</f>
        <v>0.36652843909181804</v>
      </c>
      <c r="L41" s="31">
        <f>(L39)</f>
        <v>5.15</v>
      </c>
      <c r="M41" s="31">
        <f>(L41*J41)</f>
        <v>5.15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0.23</v>
      </c>
      <c r="M43" s="31">
        <f>(L43*J43)</f>
        <v>0.23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0.19</v>
      </c>
      <c r="M45" s="31">
        <f>(L45*J45)</f>
        <v>0.19</v>
      </c>
    </row>
    <row r="46" spans="2:16">
      <c r="L46" t="s">
        <v>34</v>
      </c>
      <c r="M46" s="31">
        <f>(SUM(M33:M45))</f>
        <v>82.26</v>
      </c>
      <c r="O46" s="31">
        <f>(J13+SUM(G34:G40)-D74)</f>
        <v>2.0619240308181137</v>
      </c>
      <c r="P46">
        <f>(O46/J3)</f>
        <v>1185.2075384087277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35" priority="17" operator="lessThan">
      <formula>$C$5</formula>
    </cfRule>
    <cfRule type="cellIs" dxfId="34" priority="18" operator="greaterThan">
      <formula>$C$5</formula>
    </cfRule>
  </conditionalFormatting>
  <conditionalFormatting sqref="L35">
    <cfRule type="cellIs" dxfId="33" priority="15" operator="lessThan">
      <formula>$C$6</formula>
    </cfRule>
    <cfRule type="cellIs" dxfId="32" priority="16" operator="greaterThan">
      <formula>$C$6</formula>
    </cfRule>
  </conditionalFormatting>
  <conditionalFormatting sqref="L39">
    <cfRule type="cellIs" dxfId="31" priority="13" operator="lessThan">
      <formula>$C$20</formula>
    </cfRule>
    <cfRule type="cellIs" dxfId="30" priority="14" operator="greaterThan">
      <formula>$C$20</formula>
    </cfRule>
  </conditionalFormatting>
  <conditionalFormatting sqref="L38">
    <cfRule type="cellIs" dxfId="29" priority="11" operator="lessThan">
      <formula>$C$19</formula>
    </cfRule>
    <cfRule type="cellIs" dxfId="28" priority="12" operator="greaterThan">
      <formula>$C$19</formula>
    </cfRule>
  </conditionalFormatting>
  <conditionalFormatting sqref="L37">
    <cfRule type="cellIs" dxfId="27" priority="9" operator="lessThan">
      <formula>$C$17</formula>
    </cfRule>
    <cfRule type="cellIs" dxfId="26" priority="10" operator="greaterThan">
      <formula>$C$17</formula>
    </cfRule>
  </conditionalFormatting>
  <conditionalFormatting sqref="L36">
    <cfRule type="cellIs" dxfId="25" priority="7" operator="lessThan">
      <formula>$C$7</formula>
    </cfRule>
    <cfRule type="cellIs" dxfId="24" priority="8" operator="greaterThan">
      <formula>$C$7</formula>
    </cfRule>
  </conditionalFormatting>
  <conditionalFormatting sqref="L41">
    <cfRule type="cellIs" dxfId="19" priority="5" operator="lessThan">
      <formula>$C$30</formula>
    </cfRule>
    <cfRule type="cellIs" dxfId="18" priority="6" operator="greaterThan">
      <formula>$C$30</formula>
    </cfRule>
  </conditionalFormatting>
  <conditionalFormatting sqref="L42">
    <cfRule type="cellIs" dxfId="23" priority="3" operator="lessThan">
      <formula>$C$27</formula>
    </cfRule>
    <cfRule type="cellIs" dxfId="22" priority="4" operator="greaterThan">
      <formula>$C$27</formula>
    </cfRule>
  </conditionalFormatting>
  <conditionalFormatting sqref="L43:L45">
    <cfRule type="cellIs" dxfId="21" priority="1" operator="lessThan">
      <formula>$C$7</formula>
    </cfRule>
    <cfRule type="cellIs" dxfId="2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0.27656798963170171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29.87907329712964</v>
      </c>
      <c r="K4" s="4">
        <f>(J4/D13-1)</f>
        <v>-0.17438399867808385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0.64434400000000003</v>
      </c>
      <c r="C6" s="40">
        <v>0</v>
      </c>
      <c r="D6" s="40">
        <f>(B6*C6)</f>
        <v>0</v>
      </c>
      <c r="E6" s="38">
        <f>(B6*J3)</f>
        <v>0.17820492471124921</v>
      </c>
      <c r="M6" t="s">
        <v>11</v>
      </c>
      <c r="N6" s="1">
        <f>($B$13/5)</f>
        <v>21.607036546</v>
      </c>
      <c r="O6" s="38">
        <f>($S$7*Params!K8)</f>
        <v>0.44304876169478252</v>
      </c>
      <c r="P6" s="38">
        <f>(O6*N6)</f>
        <v>9.5729707855992103</v>
      </c>
      <c r="R6" s="2">
        <f>(B6)</f>
        <v>0.64434400000000003</v>
      </c>
      <c r="S6" s="40">
        <v>0</v>
      </c>
      <c r="T6" s="40">
        <f>(D6)</f>
        <v>0</v>
      </c>
      <c r="U6" s="38">
        <f>(R6*J3)</f>
        <v>0.17820492471124921</v>
      </c>
    </row>
    <row r="7" spans="2:21">
      <c r="B7" s="1">
        <v>104.75144953</v>
      </c>
      <c r="C7" s="38">
        <f>(D7/B7)</f>
        <v>0.3408067397652173</v>
      </c>
      <c r="D7" s="38">
        <v>35.700000000000003</v>
      </c>
      <c r="E7" t="s">
        <v>15</v>
      </c>
      <c r="N7" s="1">
        <f>($B$13/5)</f>
        <v>21.607036546</v>
      </c>
      <c r="O7" s="38">
        <f>($S$7*Params!K9)</f>
        <v>0.54529078362434769</v>
      </c>
      <c r="P7" s="38">
        <f>(O7*N7)</f>
        <v>11.782117889968259</v>
      </c>
      <c r="R7" s="29">
        <f>B7</f>
        <v>104.75144953</v>
      </c>
      <c r="S7" s="38">
        <f>(T7/R7)</f>
        <v>0.3408067397652173</v>
      </c>
      <c r="T7" s="38">
        <f>D7</f>
        <v>35.700000000000003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21.607036546</v>
      </c>
      <c r="O8" s="38">
        <f>($C$7*Params!K10)</f>
        <v>0.74977482748347812</v>
      </c>
      <c r="P8" s="38">
        <f>(O8*N8)</f>
        <v>16.200412098706355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21.607036546</v>
      </c>
      <c r="O9" s="38">
        <f>($C$7*Params!K11)</f>
        <v>1.3632269590608692</v>
      </c>
      <c r="P9" s="38">
        <f>(O9*N9)</f>
        <v>29.455294724920648</v>
      </c>
    </row>
    <row r="10" spans="2:21">
      <c r="N10" s="1"/>
      <c r="P10" s="38"/>
    </row>
    <row r="11" spans="2:21">
      <c r="P11" s="38">
        <f>(SUM(P6:P9))</f>
        <v>67.010795499194472</v>
      </c>
    </row>
    <row r="12" spans="2:21">
      <c r="F12" t="s">
        <v>9</v>
      </c>
      <c r="G12" s="35">
        <f>(D13/B13)</f>
        <v>0.3349838050484501</v>
      </c>
    </row>
    <row r="13" spans="2:21">
      <c r="B13" s="1">
        <f>(SUM(B5:B12))</f>
        <v>108.03518273</v>
      </c>
      <c r="D13" s="38">
        <f>(SUM(D5:D12))</f>
        <v>36.190036590000005</v>
      </c>
      <c r="R13" s="1">
        <f>(SUM(R5:R12))</f>
        <v>108.03518273</v>
      </c>
      <c r="T13" s="38">
        <f>(SUM(T5:T12))</f>
        <v>36.190036590000005</v>
      </c>
    </row>
  </sheetData>
  <conditionalFormatting sqref="C5 C7 G12 S5 S7">
    <cfRule type="cellIs" dxfId="245" priority="15" operator="lessThan">
      <formula>$J$3</formula>
    </cfRule>
    <cfRule type="cellIs" dxfId="244" priority="16" operator="greaterThan">
      <formula>$J$3</formula>
    </cfRule>
  </conditionalFormatting>
  <conditionalFormatting sqref="O6:O9">
    <cfRule type="cellIs" dxfId="243" priority="11" operator="lessThan">
      <formula>$J$3</formula>
    </cfRule>
    <cfRule type="cellIs" dxfId="242" priority="12" operator="greaterThan">
      <formula>$J$3</formula>
    </cfRule>
  </conditionalFormatting>
  <conditionalFormatting sqref="O6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9.8931195305918707E-2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6.2610649314625908</v>
      </c>
      <c r="K4" s="4">
        <f>(J4/D14-1)</f>
        <v>-0.36279751770810265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0.54425488</v>
      </c>
      <c r="C6" s="40">
        <v>0</v>
      </c>
      <c r="D6" s="40">
        <f>(B6*C6)</f>
        <v>0</v>
      </c>
      <c r="E6" s="38">
        <f>(B6*J3)</f>
        <v>5.3843785829479351E-2</v>
      </c>
      <c r="M6" t="s">
        <v>11</v>
      </c>
      <c r="N6" s="29">
        <f>($B$14/5)</f>
        <v>12.657412885999999</v>
      </c>
      <c r="O6" s="38">
        <f>($C$5*Params!K8)</f>
        <v>0.21940472231459929</v>
      </c>
      <c r="P6" s="38">
        <f>(O6*N6)</f>
        <v>2.7770961594740609</v>
      </c>
      <c r="R6" s="25">
        <f>(B6)</f>
        <v>0.54425488</v>
      </c>
      <c r="S6" s="40">
        <v>0</v>
      </c>
      <c r="T6" s="40">
        <f>(D6)</f>
        <v>0</v>
      </c>
      <c r="U6" s="38">
        <f>(E6)</f>
        <v>5.3843785829479351E-2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12.657412885999999</v>
      </c>
      <c r="O7" s="38">
        <f>($C$5*Params!K9)</f>
        <v>0.27003658131027602</v>
      </c>
      <c r="P7" s="38">
        <f>(O7*N7)</f>
        <v>3.4179645039680744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12.657412885999999</v>
      </c>
      <c r="O8" s="38">
        <f>($C$5*Params!K10)</f>
        <v>0.37130029930162955</v>
      </c>
      <c r="P8" s="38">
        <f>(O8*N8)</f>
        <v>4.6997011929561028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12.657412885999999</v>
      </c>
      <c r="O9" s="38">
        <f>($C$5*Params!K11)</f>
        <v>0.67509145327569009</v>
      </c>
      <c r="P9" s="38">
        <f>(O9*N9)</f>
        <v>8.5449112599201857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19.439673116318424</v>
      </c>
    </row>
    <row r="13" spans="2:21">
      <c r="F13" t="s">
        <v>9</v>
      </c>
      <c r="G13" s="38">
        <f>(D14/B14)</f>
        <v>0.15525864706314677</v>
      </c>
    </row>
    <row r="14" spans="2:21">
      <c r="B14" s="29">
        <f>(SUM(B5:B13))</f>
        <v>63.287064430000001</v>
      </c>
      <c r="D14" s="38">
        <f>(SUM(D5:D13))</f>
        <v>9.8258639999999993</v>
      </c>
    </row>
    <row r="17" spans="11:20">
      <c r="N17" s="29"/>
      <c r="R17" s="29">
        <f>(SUM(R5:R16))</f>
        <v>63.287064430000001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39" priority="13" operator="lessThan">
      <formula>$J$3</formula>
    </cfRule>
    <cfRule type="cellIs" dxfId="238" priority="14" operator="greaterThan">
      <formula>$J$3</formula>
    </cfRule>
  </conditionalFormatting>
  <conditionalFormatting sqref="C9:C10">
    <cfRule type="cellIs" dxfId="237" priority="11" operator="lessThan">
      <formula>$J$3</formula>
    </cfRule>
    <cfRule type="cellIs" dxfId="236" priority="12" operator="greaterThan">
      <formula>$J$3</formula>
    </cfRule>
  </conditionalFormatting>
  <conditionalFormatting sqref="O6:O9">
    <cfRule type="cellIs" dxfId="235" priority="9" operator="lessThan">
      <formula>$J$3</formula>
    </cfRule>
    <cfRule type="cellIs" dxfId="234" priority="10" operator="greaterThan">
      <formula>$J$3</formula>
    </cfRule>
  </conditionalFormatting>
  <conditionalFormatting sqref="S5 S7:S8">
    <cfRule type="cellIs" dxfId="233" priority="5" operator="lessThan">
      <formula>$J$3</formula>
    </cfRule>
    <cfRule type="cellIs" dxfId="232" priority="6" operator="greaterThan">
      <formula>$J$3</formula>
    </cfRule>
  </conditionalFormatting>
  <conditionalFormatting sqref="O6">
    <cfRule type="cellIs" dxfId="231" priority="3" operator="lessThan">
      <formula>$J$3</formula>
    </cfRule>
    <cfRule type="cellIs" dxfId="230" priority="4" operator="greaterThan">
      <formula>$J$3</formula>
    </cfRule>
  </conditionalFormatting>
  <conditionalFormatting sqref="G13">
    <cfRule type="cellIs" dxfId="229" priority="1" operator="lessThan">
      <formula>$J$3</formula>
    </cfRule>
    <cfRule type="cellIs" dxfId="22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2023-10-24T22:10:52Z</dcterms:modified>
</cp:coreProperties>
</file>