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B13" i="31"/>
  <c r="N9"/>
  <c r="C9"/>
  <c r="N8"/>
  <c r="C8"/>
  <c r="C7"/>
  <c r="T6"/>
  <c r="S6"/>
  <c r="R6"/>
  <c r="P6"/>
  <c r="O6" s="1"/>
  <c r="N6"/>
  <c r="N7" s="1"/>
  <c r="E6"/>
  <c r="D6"/>
  <c r="D13" s="1"/>
  <c r="G12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B13" i="29"/>
  <c r="N9"/>
  <c r="N8"/>
  <c r="N7"/>
  <c r="N6"/>
  <c r="Q6" s="1"/>
  <c r="E6"/>
  <c r="D6"/>
  <c r="D13" s="1"/>
  <c r="G12" s="1"/>
  <c r="C5"/>
  <c r="O8" s="1"/>
  <c r="P8" s="1"/>
  <c r="J4"/>
  <c r="K4" s="1"/>
  <c r="D33" i="28"/>
  <c r="C33" s="1"/>
  <c r="O8" s="1"/>
  <c r="C32"/>
  <c r="C31"/>
  <c r="C30"/>
  <c r="D29"/>
  <c r="C29"/>
  <c r="C28"/>
  <c r="B28"/>
  <c r="C27"/>
  <c r="C26"/>
  <c r="B26"/>
  <c r="C25"/>
  <c r="C24"/>
  <c r="N23"/>
  <c r="C23"/>
  <c r="T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B15"/>
  <c r="E15" s="1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C8"/>
  <c r="B8"/>
  <c r="T7"/>
  <c r="R7"/>
  <c r="P7"/>
  <c r="O7" s="1"/>
  <c r="N7"/>
  <c r="C7"/>
  <c r="T6"/>
  <c r="O6"/>
  <c r="N6"/>
  <c r="P6" s="1"/>
  <c r="B6"/>
  <c r="R6" s="1"/>
  <c r="S5"/>
  <c r="D5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D7"/>
  <c r="E6"/>
  <c r="D6"/>
  <c r="D10" s="1"/>
  <c r="G9" s="1"/>
  <c r="C5"/>
  <c r="O7" s="1"/>
  <c r="P7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T5" s="1"/>
  <c r="T37" s="1"/>
  <c r="D5"/>
  <c r="D37" s="1"/>
  <c r="G37" s="1"/>
  <c r="B16" i="22"/>
  <c r="J4" s="1"/>
  <c r="D14"/>
  <c r="D13"/>
  <c r="D12"/>
  <c r="D11"/>
  <c r="D10"/>
  <c r="D9"/>
  <c r="D8"/>
  <c r="C7"/>
  <c r="B7"/>
  <c r="E6"/>
  <c r="D6"/>
  <c r="D5"/>
  <c r="D16" s="1"/>
  <c r="B13" i="21"/>
  <c r="C11"/>
  <c r="C10"/>
  <c r="T9"/>
  <c r="S9" s="1"/>
  <c r="R9"/>
  <c r="O9"/>
  <c r="P9" s="1"/>
  <c r="N9"/>
  <c r="C9"/>
  <c r="T8"/>
  <c r="R8"/>
  <c r="O8"/>
  <c r="P8" s="1"/>
  <c r="N8"/>
  <c r="C8"/>
  <c r="T7"/>
  <c r="S7"/>
  <c r="R7"/>
  <c r="P7"/>
  <c r="O7" s="1"/>
  <c r="N3" s="1"/>
  <c r="N7"/>
  <c r="C7"/>
  <c r="T6"/>
  <c r="S6" s="1"/>
  <c r="R6"/>
  <c r="P6"/>
  <c r="O6"/>
  <c r="O3" s="1"/>
  <c r="P3" s="1"/>
  <c r="N6"/>
  <c r="E6"/>
  <c r="D6"/>
  <c r="D13" s="1"/>
  <c r="T5"/>
  <c r="S5" s="1"/>
  <c r="R5"/>
  <c r="R19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B13" i="17"/>
  <c r="O9"/>
  <c r="N9"/>
  <c r="P9" s="1"/>
  <c r="O8"/>
  <c r="P8" s="1"/>
  <c r="N8"/>
  <c r="O7"/>
  <c r="N7"/>
  <c r="P7" s="1"/>
  <c r="O6"/>
  <c r="P6" s="1"/>
  <c r="N6"/>
  <c r="E6"/>
  <c r="D6"/>
  <c r="D13" s="1"/>
  <c r="J4"/>
  <c r="C10" i="16"/>
  <c r="D9"/>
  <c r="B9"/>
  <c r="D8"/>
  <c r="C8" s="1"/>
  <c r="B8"/>
  <c r="B14" s="1"/>
  <c r="T7"/>
  <c r="S7"/>
  <c r="R7"/>
  <c r="C7"/>
  <c r="T6"/>
  <c r="R6"/>
  <c r="E6"/>
  <c r="D6"/>
  <c r="D14" s="1"/>
  <c r="G13" s="1"/>
  <c r="T5"/>
  <c r="R5"/>
  <c r="C5"/>
  <c r="O9" s="1"/>
  <c r="B13" i="15"/>
  <c r="N9"/>
  <c r="N8"/>
  <c r="N7"/>
  <c r="N6"/>
  <c r="E6"/>
  <c r="D6"/>
  <c r="D13" s="1"/>
  <c r="G12" s="1"/>
  <c r="C5"/>
  <c r="O9" s="1"/>
  <c r="P9" s="1"/>
  <c r="J4"/>
  <c r="K4" s="1"/>
  <c r="B17" i="14"/>
  <c r="C15"/>
  <c r="D14"/>
  <c r="C14"/>
  <c r="C13"/>
  <c r="C12"/>
  <c r="S9" s="1"/>
  <c r="O15" s="1"/>
  <c r="C11"/>
  <c r="T10"/>
  <c r="R10"/>
  <c r="E10"/>
  <c r="R9"/>
  <c r="N17" s="1"/>
  <c r="D9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N24" s="1"/>
  <c r="D5"/>
  <c r="D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1"/>
  <c r="C10"/>
  <c r="O16" s="1"/>
  <c r="P16" s="1"/>
  <c r="C9"/>
  <c r="U8"/>
  <c r="T8"/>
  <c r="R8"/>
  <c r="S8" s="1"/>
  <c r="C8"/>
  <c r="T7"/>
  <c r="R7"/>
  <c r="N9" s="1"/>
  <c r="N7"/>
  <c r="C7"/>
  <c r="T6"/>
  <c r="S6" s="1"/>
  <c r="R6"/>
  <c r="N6"/>
  <c r="E6"/>
  <c r="D6"/>
  <c r="D13" s="1"/>
  <c r="G12" s="1"/>
  <c r="T5"/>
  <c r="R5"/>
  <c r="U5" s="1"/>
  <c r="C5"/>
  <c r="O6" s="1"/>
  <c r="J4"/>
  <c r="B14" i="11"/>
  <c r="N9"/>
  <c r="N8"/>
  <c r="N7"/>
  <c r="D7"/>
  <c r="N6"/>
  <c r="E6"/>
  <c r="D6"/>
  <c r="D14" s="1"/>
  <c r="G13" s="1"/>
  <c r="C5"/>
  <c r="O8" s="1"/>
  <c r="P8" s="1"/>
  <c r="J4"/>
  <c r="B14" i="10"/>
  <c r="D12"/>
  <c r="C12"/>
  <c r="C11"/>
  <c r="C10"/>
  <c r="C9"/>
  <c r="C8"/>
  <c r="T7"/>
  <c r="R7"/>
  <c r="C7"/>
  <c r="T6"/>
  <c r="S6" s="1"/>
  <c r="R6"/>
  <c r="E6"/>
  <c r="D6"/>
  <c r="D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B13" i="8"/>
  <c r="N9" s="1"/>
  <c r="C9"/>
  <c r="T8"/>
  <c r="R8"/>
  <c r="C8"/>
  <c r="T7"/>
  <c r="R7"/>
  <c r="C7"/>
  <c r="O9" s="1"/>
  <c r="R6"/>
  <c r="U6" s="1"/>
  <c r="E6"/>
  <c r="D6"/>
  <c r="D13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N6"/>
  <c r="O6" s="1"/>
  <c r="D6"/>
  <c r="D5"/>
  <c r="D9" s="1"/>
  <c r="D231" i="3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1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R19"/>
  <c r="C19"/>
  <c r="D19" s="1"/>
  <c r="O18"/>
  <c r="N18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N19" l="1"/>
  <c r="S19"/>
  <c r="O21" s="1"/>
  <c r="P21" s="1"/>
  <c r="S6" i="16"/>
  <c r="K4" i="14"/>
  <c r="T13" i="12"/>
  <c r="P6"/>
  <c r="K4"/>
  <c r="G13" i="10"/>
  <c r="O6"/>
  <c r="G12" i="8"/>
  <c r="N7"/>
  <c r="S7"/>
  <c r="O7" s="1"/>
  <c r="P7" s="1"/>
  <c r="O8"/>
  <c r="T5" i="10"/>
  <c r="P6" i="4"/>
  <c r="K4" i="32"/>
  <c r="K4" i="30"/>
  <c r="K4" i="10"/>
  <c r="E7" i="11"/>
  <c r="L39" i="5"/>
  <c r="M38"/>
  <c r="T10" i="1"/>
  <c r="S10" s="1"/>
  <c r="P29"/>
  <c r="O14" i="2"/>
  <c r="O6" i="1"/>
  <c r="P6" s="1"/>
  <c r="O37"/>
  <c r="P37" s="1"/>
  <c r="O36"/>
  <c r="O35"/>
  <c r="O34"/>
  <c r="O17" i="2"/>
  <c r="O22" s="1"/>
  <c r="N4"/>
  <c r="H36" i="5"/>
  <c r="H37"/>
  <c r="I37" s="1"/>
  <c r="K37" s="1"/>
  <c r="K4" i="4"/>
  <c r="P26"/>
  <c r="J14" i="5"/>
  <c r="I36"/>
  <c r="K36" s="1"/>
  <c r="P9" i="8"/>
  <c r="K4" i="9"/>
  <c r="O7" i="16"/>
  <c r="O6"/>
  <c r="G9" i="18"/>
  <c r="K4"/>
  <c r="G9" i="20"/>
  <c r="K4"/>
  <c r="G12" i="21"/>
  <c r="K4"/>
  <c r="R37" i="28"/>
  <c r="T5"/>
  <c r="T37" s="1"/>
  <c r="O16"/>
  <c r="O17"/>
  <c r="P17" s="1"/>
  <c r="O15"/>
  <c r="O26"/>
  <c r="O25"/>
  <c r="P25" s="1"/>
  <c r="O24"/>
  <c r="P6" i="32"/>
  <c r="P18" i="1"/>
  <c r="O20"/>
  <c r="P20" s="1"/>
  <c r="N26"/>
  <c r="N27"/>
  <c r="N28"/>
  <c r="B39"/>
  <c r="N34" i="2"/>
  <c r="O34" s="1"/>
  <c r="O38" s="1"/>
  <c r="N42"/>
  <c r="O42" s="1"/>
  <c r="O46" s="1"/>
  <c r="N44"/>
  <c r="O44" s="1"/>
  <c r="N51"/>
  <c r="O51" s="1"/>
  <c r="N67"/>
  <c r="O67" s="1"/>
  <c r="M73"/>
  <c r="N74"/>
  <c r="M75"/>
  <c r="O75" s="1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8" i="4"/>
  <c r="M37" i="5"/>
  <c r="J4" i="8"/>
  <c r="S5"/>
  <c r="N6"/>
  <c r="T6"/>
  <c r="T13" s="1"/>
  <c r="N8"/>
  <c r="O6" i="9"/>
  <c r="P6" s="1"/>
  <c r="T14" i="10"/>
  <c r="N6"/>
  <c r="P6" s="1"/>
  <c r="O7"/>
  <c r="O8"/>
  <c r="P11" i="17"/>
  <c r="P11" i="21"/>
  <c r="N9" i="16"/>
  <c r="P9" s="1"/>
  <c r="N8"/>
  <c r="N6"/>
  <c r="J4"/>
  <c r="N7"/>
  <c r="G12" i="17"/>
  <c r="K4"/>
  <c r="O8" i="24"/>
  <c r="P8" s="1"/>
  <c r="O6"/>
  <c r="P6" s="1"/>
  <c r="O7"/>
  <c r="P23" i="28"/>
  <c r="O3"/>
  <c r="O3" i="1"/>
  <c r="T5"/>
  <c r="O19"/>
  <c r="P19" s="1"/>
  <c r="O26"/>
  <c r="P26" s="1"/>
  <c r="O27"/>
  <c r="P27" s="1"/>
  <c r="O28"/>
  <c r="P28" s="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T6" i="9"/>
  <c r="T17" s="1"/>
  <c r="O7"/>
  <c r="P7" s="1"/>
  <c r="O8"/>
  <c r="P8" s="1"/>
  <c r="U5" i="10"/>
  <c r="N7"/>
  <c r="N8"/>
  <c r="N9"/>
  <c r="P9" s="1"/>
  <c r="K4" i="24"/>
  <c r="K4" i="26"/>
  <c r="K4" i="27"/>
  <c r="D35" i="28"/>
  <c r="N3"/>
  <c r="K4" i="31"/>
  <c r="K4" i="11"/>
  <c r="O7"/>
  <c r="P7" s="1"/>
  <c r="O9"/>
  <c r="P9" s="1"/>
  <c r="O7" i="12"/>
  <c r="P7" s="1"/>
  <c r="O8"/>
  <c r="O9"/>
  <c r="P9" s="1"/>
  <c r="R13"/>
  <c r="O15"/>
  <c r="P15" s="1"/>
  <c r="O17"/>
  <c r="P17" s="1"/>
  <c r="N6" i="13"/>
  <c r="P6" s="1"/>
  <c r="P12" s="1"/>
  <c r="N7"/>
  <c r="N8"/>
  <c r="O9" i="14"/>
  <c r="P9" s="1"/>
  <c r="P11" s="1"/>
  <c r="T9"/>
  <c r="N14"/>
  <c r="N15"/>
  <c r="P15" s="1"/>
  <c r="O16"/>
  <c r="G17"/>
  <c r="O17"/>
  <c r="P17" s="1"/>
  <c r="N23"/>
  <c r="N25"/>
  <c r="R37"/>
  <c r="O6" i="15"/>
  <c r="P6" s="1"/>
  <c r="O8"/>
  <c r="P8" s="1"/>
  <c r="U5" i="16"/>
  <c r="O8"/>
  <c r="P8" s="1"/>
  <c r="R8"/>
  <c r="R13" s="1"/>
  <c r="T8"/>
  <c r="S8" s="1"/>
  <c r="O6" i="19"/>
  <c r="O8"/>
  <c r="O9"/>
  <c r="P9" s="1"/>
  <c r="T19" i="21"/>
  <c r="E35" i="23"/>
  <c r="T6" i="24"/>
  <c r="T17" s="1"/>
  <c r="O15"/>
  <c r="P15" s="1"/>
  <c r="O6" i="25"/>
  <c r="O8"/>
  <c r="O9"/>
  <c r="P9" s="1"/>
  <c r="T22" i="26"/>
  <c r="N16" i="28"/>
  <c r="N26"/>
  <c r="B35"/>
  <c r="J4" s="1"/>
  <c r="O6" i="29"/>
  <c r="P6" s="1"/>
  <c r="O7"/>
  <c r="P7" s="1"/>
  <c r="O9"/>
  <c r="P9" s="1"/>
  <c r="O6" i="30"/>
  <c r="P6" s="1"/>
  <c r="O8"/>
  <c r="P8" s="1"/>
  <c r="O9"/>
  <c r="P9" s="1"/>
  <c r="O7" i="31"/>
  <c r="P7" s="1"/>
  <c r="O8"/>
  <c r="P8" s="1"/>
  <c r="P11" s="1"/>
  <c r="S6" i="32"/>
  <c r="O7"/>
  <c r="P7" s="1"/>
  <c r="O9"/>
  <c r="P9" s="1"/>
  <c r="O7" i="33"/>
  <c r="P7" s="1"/>
  <c r="O6" i="34"/>
  <c r="P6" s="1"/>
  <c r="O8"/>
  <c r="P8" s="1"/>
  <c r="O9"/>
  <c r="P9" s="1"/>
  <c r="O6" i="11"/>
  <c r="P6" s="1"/>
  <c r="P12" s="1"/>
  <c r="N8" i="12"/>
  <c r="O14"/>
  <c r="P14" s="1"/>
  <c r="P19" s="1"/>
  <c r="O7" i="13"/>
  <c r="P7" s="1"/>
  <c r="O8"/>
  <c r="P8" s="1"/>
  <c r="S5" i="14"/>
  <c r="T8"/>
  <c r="T37" s="1"/>
  <c r="O14"/>
  <c r="P14" s="1"/>
  <c r="N16"/>
  <c r="N22"/>
  <c r="O7" i="15"/>
  <c r="P7" s="1"/>
  <c r="O6" i="18"/>
  <c r="P6" s="1"/>
  <c r="O8"/>
  <c r="P8" s="1"/>
  <c r="N6" i="19"/>
  <c r="N8"/>
  <c r="O6" i="20"/>
  <c r="P6" s="1"/>
  <c r="O8"/>
  <c r="P8" s="1"/>
  <c r="C9" i="23"/>
  <c r="O6" s="1"/>
  <c r="P6" s="1"/>
  <c r="R9"/>
  <c r="S9" s="1"/>
  <c r="R24"/>
  <c r="R25"/>
  <c r="N7" i="24"/>
  <c r="O14"/>
  <c r="P14" s="1"/>
  <c r="P20" s="1"/>
  <c r="O16"/>
  <c r="P16" s="1"/>
  <c r="K4" i="25"/>
  <c r="N6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15"/>
  <c r="N24"/>
  <c r="T5" i="31"/>
  <c r="S5" i="32"/>
  <c r="T5" s="1"/>
  <c r="T35" s="1"/>
  <c r="W35" s="1"/>
  <c r="O6" i="33"/>
  <c r="P6" s="1"/>
  <c r="P11" s="1"/>
  <c r="O8"/>
  <c r="P8" s="1"/>
  <c r="W37" i="28" l="1"/>
  <c r="K4" i="16"/>
  <c r="O6" i="8"/>
  <c r="P6" s="1"/>
  <c r="K4"/>
  <c r="P8"/>
  <c r="K4" i="28"/>
  <c r="T17" i="31"/>
  <c r="S5"/>
  <c r="D39" i="1"/>
  <c r="D42" s="1"/>
  <c r="T22"/>
  <c r="T18"/>
  <c r="S18" s="1"/>
  <c r="R18"/>
  <c r="N10"/>
  <c r="P10" s="1"/>
  <c r="R22"/>
  <c r="L41" i="5"/>
  <c r="M41" s="1"/>
  <c r="M39"/>
  <c r="M46" s="1"/>
  <c r="P19" i="26"/>
  <c r="P11" i="30"/>
  <c r="P6" i="25"/>
  <c r="P6" i="19"/>
  <c r="P11" i="15"/>
  <c r="P16" i="14"/>
  <c r="P8" i="12"/>
  <c r="P11" s="1"/>
  <c r="G35" i="28"/>
  <c r="N3" i="31"/>
  <c r="T13" i="16"/>
  <c r="P8" i="10"/>
  <c r="P12" i="9"/>
  <c r="N3" i="32"/>
  <c r="O3"/>
  <c r="P15" i="28"/>
  <c r="P19" s="1"/>
  <c r="P16"/>
  <c r="P7" i="16"/>
  <c r="P35" i="1"/>
  <c r="D37" i="2"/>
  <c r="O25" i="14"/>
  <c r="P25" s="1"/>
  <c r="O23"/>
  <c r="P23" s="1"/>
  <c r="O24"/>
  <c r="P24" s="1"/>
  <c r="O22"/>
  <c r="P22" s="1"/>
  <c r="P27" s="1"/>
  <c r="R22" i="2"/>
  <c r="M57"/>
  <c r="O57" s="1"/>
  <c r="D31"/>
  <c r="T22"/>
  <c r="T20"/>
  <c r="R20"/>
  <c r="H41" i="5"/>
  <c r="I41" s="1"/>
  <c r="K41" s="1"/>
  <c r="H38"/>
  <c r="M4" i="2"/>
  <c r="O4" s="1"/>
  <c r="P11" i="26"/>
  <c r="P11" i="20"/>
  <c r="P11" i="18"/>
  <c r="P19" i="14"/>
  <c r="P11" i="34"/>
  <c r="P11" i="29"/>
  <c r="P8" i="25"/>
  <c r="R37" i="23"/>
  <c r="P8" i="19"/>
  <c r="P31" i="1"/>
  <c r="T32"/>
  <c r="O3" i="31"/>
  <c r="P3" s="1"/>
  <c r="P3" i="28"/>
  <c r="P7" i="24"/>
  <c r="P11" s="1"/>
  <c r="P7" i="10"/>
  <c r="P11" s="1"/>
  <c r="O74" i="2"/>
  <c r="O78" s="1"/>
  <c r="P23" i="1"/>
  <c r="P11" i="32"/>
  <c r="P24" i="28"/>
  <c r="P26"/>
  <c r="P6" i="16"/>
  <c r="P12" s="1"/>
  <c r="K14" i="5"/>
  <c r="P34" i="1"/>
  <c r="P36"/>
  <c r="N3"/>
  <c r="P3" s="1"/>
  <c r="B37" i="2"/>
  <c r="B42" i="1"/>
  <c r="P28" i="28" l="1"/>
  <c r="S20" i="2"/>
  <c r="N60" s="1"/>
  <c r="O60" s="1"/>
  <c r="P11" i="8"/>
  <c r="J12" i="1"/>
  <c r="J13" s="1"/>
  <c r="J4"/>
  <c r="J4" i="2"/>
  <c r="J7"/>
  <c r="J8" s="1"/>
  <c r="H39" i="5"/>
  <c r="I39" s="1"/>
  <c r="K39" s="1"/>
  <c r="I38"/>
  <c r="K38" s="1"/>
  <c r="M58" i="2"/>
  <c r="R36"/>
  <c r="N11" i="1"/>
  <c r="R32"/>
  <c r="T36" i="2"/>
  <c r="P39" i="1"/>
  <c r="G36" i="2"/>
  <c r="P11" i="19"/>
  <c r="N59" i="2"/>
  <c r="O59" s="1"/>
  <c r="O12" i="1"/>
  <c r="P12" s="1"/>
  <c r="O11"/>
  <c r="P11" s="1"/>
  <c r="O13"/>
  <c r="P13" s="1"/>
  <c r="G7"/>
  <c r="I42"/>
  <c r="P3" i="32"/>
  <c r="P11" i="25"/>
  <c r="P15" i="1"/>
  <c r="K4" l="1"/>
  <c r="N58" i="2"/>
  <c r="O58" s="1"/>
  <c r="O62" s="1"/>
  <c r="K4"/>
  <c r="J13" i="5"/>
  <c r="O46" l="1"/>
  <c r="P46" s="1"/>
  <c r="J15"/>
  <c r="J16" s="1"/>
</calcChain>
</file>

<file path=xl/sharedStrings.xml><?xml version="1.0" encoding="utf-8"?>
<sst xmlns="http://schemas.openxmlformats.org/spreadsheetml/2006/main" count="698" uniqueCount="87">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</sst>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</c:numCache>
            </c:numRef>
          </c:val>
        </c:ser>
        <c:marker val="1"/>
        <c:axId val="89789952"/>
        <c:axId val="89791872"/>
      </c:lineChart>
      <c:dateAx>
        <c:axId val="89789952"/>
        <c:scaling>
          <c:orientation val="minMax"/>
        </c:scaling>
        <c:axPos val="b"/>
        <c:numFmt formatCode="dd/mm/yy;@" sourceLinked="1"/>
        <c:majorTickMark val="none"/>
        <c:tickLblPos val="nextTo"/>
        <c:crossAx val="89791872"/>
        <c:crosses val="autoZero"/>
        <c:lblOffset val="100"/>
      </c:dateAx>
      <c:valAx>
        <c:axId val="897918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9789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7" workbookViewId="0">
      <selection activeCell="B36" sqref="B36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1992.3479960124739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1004.6577345489372</v>
      </c>
      <c r="K4" s="4">
        <f>(J4/D42-1)</f>
        <v>-0.28523563045313549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2787.4192963417477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4.3242599999999999E-3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3.3775656000000001E-2</v>
      </c>
      <c r="O11" s="39">
        <f>($S$18*Params!K16)</f>
        <v>3265.7869581465857</v>
      </c>
      <c r="P11" s="23">
        <f>(O11*N11)</f>
        <v>110.30409686764548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4.3242599999999999E-3</v>
      </c>
      <c r="C12" s="40">
        <v>0</v>
      </c>
      <c r="D12" s="26">
        <f t="shared" si="0"/>
        <v>0</v>
      </c>
      <c r="E12" s="38">
        <f>(B12*J3)</f>
        <v>8.6154307452368997</v>
      </c>
      <c r="I12" t="s">
        <v>13</v>
      </c>
      <c r="J12">
        <f>(J11-B42)</f>
        <v>9.5741840000000078E-2</v>
      </c>
      <c r="N12">
        <f>($B$35/5)</f>
        <v>1.9210327999999999E-2</v>
      </c>
      <c r="O12" s="39">
        <f>($S$18*Params!K17)</f>
        <v>6531.5739162931714</v>
      </c>
      <c r="P12" s="23">
        <f>(O12*N12)</f>
        <v>125.47367728823636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190.75106305854706</v>
      </c>
      <c r="N13">
        <f>($B$35/5)</f>
        <v>1.9210327999999999E-2</v>
      </c>
      <c r="O13" s="39">
        <f>($S$18*Params!K18)</f>
        <v>13063.147832586343</v>
      </c>
      <c r="P13" s="23">
        <f>(O13*N13)</f>
        <v>250.94735457647272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494.18035373235455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9.1406639999999997E-2</v>
      </c>
      <c r="S18" s="39">
        <f>(T18/R18)</f>
        <v>1632.8934790732928</v>
      </c>
      <c r="T18" s="23">
        <f>(D35+1283.68*B39)</f>
        <v>149.2573064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7.0551000000000008E-3</v>
      </c>
      <c r="O19" s="39">
        <f>($S$19*Params!K16)</f>
        <v>3359.6583356734996</v>
      </c>
      <c r="P19" s="23">
        <f>(O19*N19)</f>
        <v>23.702725524010109</v>
      </c>
      <c r="R19" s="24">
        <f>(B36+B38)</f>
        <v>1.869525E-2</v>
      </c>
      <c r="S19" s="39">
        <f>(T19/R19)</f>
        <v>1679.8291678367498</v>
      </c>
      <c r="T19" s="23">
        <f>(D36+1269.75*B38)</f>
        <v>31.404826249999996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3.8800500000000003E-3</v>
      </c>
      <c r="O20" s="39">
        <f>($S$19*Params!K17)</f>
        <v>6719.3166713469991</v>
      </c>
      <c r="P20" s="23">
        <f>(O20*N20)</f>
        <v>26.071284650659926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3.8800500000000003E-3</v>
      </c>
      <c r="O21" s="39">
        <f>($S$19*Params!K18)</f>
        <v>13438.633342693998</v>
      </c>
      <c r="P21" s="23">
        <f>(O21*N21)</f>
        <v>52.142569301319853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103.04810447598989</v>
      </c>
      <c r="R23" s="24">
        <f>(B40)</f>
        <v>3.7065439999999998E-2</v>
      </c>
      <c r="S23" s="39">
        <f>(T23/R23)</f>
        <v>1830.5461907372473</v>
      </c>
      <c r="T23" s="23">
        <f>(D40)</f>
        <v>67.849999999999994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0.50425816000000001</v>
      </c>
      <c r="T32" s="23">
        <f>(SUM(T5:T31))</f>
        <v>1405.5789255217842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7.413088E-3</v>
      </c>
      <c r="O34" s="39">
        <f>($S$23*Params!K15)</f>
        <v>2745.819286105871</v>
      </c>
      <c r="P34" s="23">
        <f>(O34*N34)</f>
        <v>20.355</v>
      </c>
    </row>
    <row r="35" spans="2:16">
      <c r="B35" s="24">
        <v>9.6051639999999994E-2</v>
      </c>
      <c r="C35" s="39">
        <f>(D35/B35)</f>
        <v>1616.0057235878535</v>
      </c>
      <c r="D35" s="23">
        <v>155.22</v>
      </c>
      <c r="E35" t="s">
        <v>10</v>
      </c>
      <c r="N35">
        <f>($R$23/5)</f>
        <v>7.413088E-3</v>
      </c>
      <c r="O35" s="39">
        <f>($S$23*Params!K16)</f>
        <v>3661.0923814744947</v>
      </c>
      <c r="P35" s="23">
        <f>(O35*N35)</f>
        <v>27.139999999999997</v>
      </c>
    </row>
    <row r="36" spans="2:16">
      <c r="B36" s="24">
        <v>1.9400250000000001E-2</v>
      </c>
      <c r="C36" s="39">
        <f>(D36/B36)</f>
        <v>1664.9269983634229</v>
      </c>
      <c r="D36" s="23">
        <v>32.299999999999997</v>
      </c>
      <c r="E36" t="s">
        <v>15</v>
      </c>
      <c r="N36">
        <f>($R$23/5)</f>
        <v>7.413088E-3</v>
      </c>
      <c r="O36" s="39">
        <f>($S$23*Params!K17)</f>
        <v>7322.1847629489894</v>
      </c>
      <c r="P36" s="23">
        <f>(O36*N36)</f>
        <v>54.279999999999994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7.413088E-3</v>
      </c>
      <c r="O37" s="39">
        <f>($S$23*Params!K18)</f>
        <v>14644.369525897979</v>
      </c>
      <c r="P37" s="23">
        <f>(O37*N37)</f>
        <v>108.55999999999999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210.33499999999998</v>
      </c>
    </row>
    <row r="40" spans="2:16">
      <c r="B40" s="24">
        <v>3.7065439999999998E-2</v>
      </c>
      <c r="C40" s="39">
        <f>(D40/B40)</f>
        <v>1830.5461907372473</v>
      </c>
      <c r="D40" s="23">
        <v>67.849999999999994</v>
      </c>
      <c r="E40" t="s">
        <v>18</v>
      </c>
    </row>
    <row r="42" spans="2:16">
      <c r="B42">
        <f>(SUM(B5:B41))</f>
        <v>0.5042581599999999</v>
      </c>
      <c r="D42" s="23">
        <f>(SUM(D5:D41))</f>
        <v>1405.5789255217842</v>
      </c>
      <c r="H42" t="s">
        <v>9</v>
      </c>
      <c r="I42" s="39">
        <f>D42/B42</f>
        <v>2787.4192963417477</v>
      </c>
    </row>
  </sheetData>
  <conditionalFormatting sqref="C5:C7 C11 C18:C24">
    <cfRule type="cellIs" dxfId="287" priority="37" operator="lessThan">
      <formula>$J$3</formula>
    </cfRule>
    <cfRule type="cellIs" dxfId="286" priority="38" operator="greaterThan">
      <formula>$J$3</formula>
    </cfRule>
  </conditionalFormatting>
  <conditionalFormatting sqref="C25">
    <cfRule type="cellIs" dxfId="285" priority="35" operator="lessThan">
      <formula>$J$3</formula>
    </cfRule>
    <cfRule type="cellIs" dxfId="284" priority="36" operator="greaterThan">
      <formula>$J$3</formula>
    </cfRule>
  </conditionalFormatting>
  <conditionalFormatting sqref="C27">
    <cfRule type="cellIs" dxfId="283" priority="33" operator="lessThan">
      <formula>$J$3</formula>
    </cfRule>
    <cfRule type="cellIs" dxfId="282" priority="34" operator="greaterThan">
      <formula>$J$3</formula>
    </cfRule>
  </conditionalFormatting>
  <conditionalFormatting sqref="C29">
    <cfRule type="cellIs" dxfId="281" priority="31" operator="lessThan">
      <formula>$J$3</formula>
    </cfRule>
    <cfRule type="cellIs" dxfId="280" priority="32" operator="greaterThan">
      <formula>$J$3</formula>
    </cfRule>
  </conditionalFormatting>
  <conditionalFormatting sqref="C31">
    <cfRule type="cellIs" dxfId="279" priority="29" operator="lessThan">
      <formula>$J$3</formula>
    </cfRule>
    <cfRule type="cellIs" dxfId="278" priority="30" operator="greaterThan">
      <formula>$J$3</formula>
    </cfRule>
  </conditionalFormatting>
  <conditionalFormatting sqref="C33">
    <cfRule type="cellIs" dxfId="277" priority="27" operator="lessThan">
      <formula>$J$3</formula>
    </cfRule>
    <cfRule type="cellIs" dxfId="276" priority="28" operator="greaterThan">
      <formula>$J$3</formula>
    </cfRule>
  </conditionalFormatting>
  <conditionalFormatting sqref="C35:C37">
    <cfRule type="cellIs" dxfId="275" priority="25" operator="lessThan">
      <formula>$J$3</formula>
    </cfRule>
    <cfRule type="cellIs" dxfId="274" priority="26" operator="greaterThan">
      <formula>$J$3</formula>
    </cfRule>
  </conditionalFormatting>
  <conditionalFormatting sqref="C40">
    <cfRule type="cellIs" dxfId="273" priority="23" operator="lessThan">
      <formula>$J$3</formula>
    </cfRule>
    <cfRule type="cellIs" dxfId="272" priority="24" operator="greaterThan">
      <formula>$J$3</formula>
    </cfRule>
  </conditionalFormatting>
  <conditionalFormatting sqref="I42">
    <cfRule type="cellIs" dxfId="271" priority="21" operator="lessThan">
      <formula>$J$3</formula>
    </cfRule>
    <cfRule type="cellIs" dxfId="270" priority="22" operator="greaterThan">
      <formula>$J$3</formula>
    </cfRule>
  </conditionalFormatting>
  <conditionalFormatting sqref="O11:O13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O19:O21">
    <cfRule type="cellIs" dxfId="267" priority="17" operator="lessThan">
      <formula>$J$3</formula>
    </cfRule>
    <cfRule type="cellIs" dxfId="266" priority="18" operator="greaterThan">
      <formula>$J$3</formula>
    </cfRule>
  </conditionalFormatting>
  <conditionalFormatting sqref="O26:O2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O34:O37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N6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3">
    <cfRule type="cellIs" dxfId="259" priority="9" operator="greaterThan">
      <formula>$J$3</formula>
    </cfRule>
    <cfRule type="cellIs" dxfId="258" priority="10" operator="lessThan">
      <formula>$J$3</formula>
    </cfRule>
  </conditionalFormatting>
  <conditionalFormatting sqref="S5:S7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S10:S15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18:S20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S2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2.17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18.742666690300002</v>
      </c>
      <c r="K4" s="4">
        <f>(J4/D14-1)</f>
        <v>-0.41630574690789268</v>
      </c>
      <c r="R4" t="s">
        <v>5</v>
      </c>
      <c r="S4" t="s">
        <v>6</v>
      </c>
      <c r="T4" t="s">
        <v>7</v>
      </c>
    </row>
    <row r="5" spans="2:21">
      <c r="B5" s="29">
        <v>8.1728803699999997</v>
      </c>
      <c r="C5" s="38">
        <f>(D5/B5)</f>
        <v>3.9520950433292588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0.39835147999999998</v>
      </c>
      <c r="S5" s="40">
        <v>0</v>
      </c>
      <c r="T5" s="26">
        <f>(D6)</f>
        <v>0</v>
      </c>
      <c r="U5" s="38">
        <f>(R5*J3)</f>
        <v>0.86442271159999995</v>
      </c>
    </row>
    <row r="6" spans="2:21">
      <c r="B6" s="36">
        <v>0.39835147999999998</v>
      </c>
      <c r="C6" s="40">
        <v>0</v>
      </c>
      <c r="D6" s="26">
        <f>(B6*C6)</f>
        <v>0</v>
      </c>
      <c r="E6" s="38">
        <f>(B6*J3)</f>
        <v>0.86442271159999995</v>
      </c>
      <c r="M6" t="s">
        <v>11</v>
      </c>
      <c r="N6" s="29">
        <f>(SUM(R5:R7)/5)</f>
        <v>1.727434718</v>
      </c>
      <c r="O6" s="38">
        <f>($C$5*Params!K8)</f>
        <v>5.1377235563280363</v>
      </c>
      <c r="P6" s="38">
        <f>(O6*N6)</f>
        <v>8.8750820426874792</v>
      </c>
      <c r="R6" s="29">
        <f>(B5)</f>
        <v>8.1728803699999997</v>
      </c>
      <c r="S6" s="38">
        <f>(T6/R6)</f>
        <v>3.9520950433292588</v>
      </c>
      <c r="T6" s="38">
        <f>(D5)</f>
        <v>32.299999999999997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1.727434718</v>
      </c>
      <c r="O7" s="38">
        <f>($C$5*Params!K9)</f>
        <v>6.3233520693268144</v>
      </c>
      <c r="P7" s="38">
        <f>(O7*N7)</f>
        <v>10.923177898692282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1.727434718</v>
      </c>
      <c r="O8" s="38">
        <f>($C$5*Params!K10)</f>
        <v>8.6946090953243704</v>
      </c>
      <c r="P8" s="38">
        <f>(O8*N8)</f>
        <v>15.01936961070189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1.727434718</v>
      </c>
      <c r="O9" s="38">
        <f>($C$5*Params!K11)</f>
        <v>15.808380173317035</v>
      </c>
      <c r="P9" s="38">
        <f>(O9*N9)</f>
        <v>27.307944746730705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62.12557429881236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3.7176997863255861</v>
      </c>
    </row>
    <row r="14" spans="2:21">
      <c r="B14" s="29">
        <f>(SUM(B5:B13))</f>
        <v>8.6371735900000015</v>
      </c>
      <c r="D14" s="38">
        <f>(SUM(D5:D13))</f>
        <v>32.110418410000001</v>
      </c>
      <c r="R14" s="29">
        <f>(SUM(R5:R13))</f>
        <v>8.6371735899999997</v>
      </c>
      <c r="T14" s="38">
        <f>(SUM(T5:T13))</f>
        <v>32.110418409999994</v>
      </c>
    </row>
    <row r="22" spans="4:4">
      <c r="D22" s="29"/>
    </row>
  </sheetData>
  <conditionalFormatting sqref="C5 C7:C12">
    <cfRule type="cellIs" dxfId="189" priority="7" operator="lessThan">
      <formula>$J$3</formula>
    </cfRule>
    <cfRule type="cellIs" dxfId="188" priority="8" operator="greaterThan">
      <formula>$J$3</formula>
    </cfRule>
  </conditionalFormatting>
  <conditionalFormatting sqref="O6:O9"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S6:S7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G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10.06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12.160120469400001</v>
      </c>
      <c r="K4" s="4">
        <f>(J4/D14-1)</f>
        <v>0.11254533114364151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0.88463686420000009</v>
      </c>
      <c r="M6" t="s">
        <v>11</v>
      </c>
      <c r="N6" s="1">
        <f>(SUM($B$5:$B$7)/5)</f>
        <v>0.24175189800000002</v>
      </c>
      <c r="O6" s="38">
        <f>($C$5*Params!K8)</f>
        <v>12.800900900900901</v>
      </c>
      <c r="P6" s="38">
        <f>(O6*N6)</f>
        <v>3.0946420889027029</v>
      </c>
    </row>
    <row r="7" spans="2:16">
      <c r="B7" s="36">
        <v>1.082342E-2</v>
      </c>
      <c r="C7" s="40">
        <v>0</v>
      </c>
      <c r="D7" s="26">
        <f>(C7*B7)</f>
        <v>0</v>
      </c>
      <c r="E7" s="38">
        <f>(B7*J4)</f>
        <v>0.13161409109091335</v>
      </c>
      <c r="N7" s="1">
        <f>(SUM($B$5:$B$7)/5)</f>
        <v>0.24175189800000002</v>
      </c>
      <c r="O7" s="38">
        <f>($C$5*Params!K9)</f>
        <v>15.754954954954954</v>
      </c>
      <c r="P7" s="38">
        <f>(O7*N7)</f>
        <v>3.8087902632648651</v>
      </c>
    </row>
    <row r="8" spans="2:16">
      <c r="N8" s="1">
        <f>(SUM($B$5:$B$7)/5)</f>
        <v>0.24175189800000002</v>
      </c>
      <c r="O8" s="38">
        <f>($C$5*Params!K10)</f>
        <v>21.663063063063063</v>
      </c>
      <c r="P8" s="38">
        <f>(O8*N8)</f>
        <v>5.2370866119891897</v>
      </c>
    </row>
    <row r="9" spans="2:16">
      <c r="N9" s="1">
        <f>(SUM($B$5:$B$7)/5)</f>
        <v>0.24175189800000002</v>
      </c>
      <c r="O9" s="38">
        <f>($C$5*Params!K11)</f>
        <v>39.387387387387385</v>
      </c>
      <c r="P9" s="38">
        <f>(O9*N9)</f>
        <v>9.5219756581621624</v>
      </c>
    </row>
    <row r="12" spans="2:16">
      <c r="P12" s="38">
        <f>(SUM(P6:P9))</f>
        <v>21.662494622318921</v>
      </c>
    </row>
    <row r="13" spans="2:16">
      <c r="F13" t="s">
        <v>9</v>
      </c>
      <c r="G13" s="38">
        <f>(D14/B14)</f>
        <v>9.0423281806043967</v>
      </c>
    </row>
    <row r="14" spans="2:16">
      <c r="B14" s="19">
        <f>(SUM(B5:B13))</f>
        <v>1.20875949</v>
      </c>
      <c r="D14" s="38">
        <f>(SUM(D5:D13))</f>
        <v>10.93</v>
      </c>
    </row>
  </sheetData>
  <conditionalFormatting sqref="C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O6:O9">
    <cfRule type="cellIs" dxfId="179" priority="3" operator="lessThan">
      <formula>$J$3</formula>
    </cfRule>
    <cfRule type="cellIs" dxfId="178" priority="4" operator="greaterThan">
      <formula>$J$3</formula>
    </cfRule>
  </conditionalFormatting>
  <conditionalFormatting sqref="G13">
    <cfRule type="cellIs" dxfId="177" priority="1" operator="lessThan">
      <formula>$J$3</formula>
    </cfRule>
    <cfRule type="cellIs" dxfId="17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15.38806634737346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39.533605280851916</v>
      </c>
      <c r="K4" s="4">
        <f>(J4/D13-1)</f>
        <v>-8.3463841049381537E-3</v>
      </c>
      <c r="R4" t="s">
        <v>5</v>
      </c>
      <c r="S4" t="s">
        <v>6</v>
      </c>
      <c r="T4" t="s">
        <v>7</v>
      </c>
    </row>
    <row r="5" spans="2:21">
      <c r="B5" s="24">
        <v>2.0279041100000001</v>
      </c>
      <c r="C5" s="38">
        <f>(D5/B5)</f>
        <v>15.927774809825694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1.0226020000000001E-2</v>
      </c>
      <c r="S5" s="40">
        <v>0</v>
      </c>
      <c r="T5" s="26">
        <f>(D6)</f>
        <v>0</v>
      </c>
      <c r="U5" s="38">
        <f>(R5*J3)</f>
        <v>0.15735867422956795</v>
      </c>
    </row>
    <row r="6" spans="2:21">
      <c r="B6" s="25">
        <v>1.0226020000000001E-2</v>
      </c>
      <c r="C6" s="40">
        <v>0</v>
      </c>
      <c r="D6" s="26">
        <f>(B6*C6)</f>
        <v>0</v>
      </c>
      <c r="E6" s="38">
        <f>(B6*J3)</f>
        <v>0.15735867422956795</v>
      </c>
      <c r="M6" t="s">
        <v>11</v>
      </c>
      <c r="N6" s="24">
        <f>($B$5+$R$7)/5</f>
        <v>0.41204023800000006</v>
      </c>
      <c r="O6" s="38">
        <f>($C$5*Params!K8)</f>
        <v>20.706107252773403</v>
      </c>
      <c r="P6" s="38">
        <f>(O6*N6)</f>
        <v>8.5317493604862804</v>
      </c>
      <c r="R6" s="24">
        <f>B5</f>
        <v>2.0279041100000001</v>
      </c>
      <c r="S6" s="38">
        <f>(T6/R6)</f>
        <v>15.927774809825694</v>
      </c>
      <c r="T6" s="38">
        <f>D5</f>
        <v>32.299999999999997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0.41204023800000006</v>
      </c>
      <c r="O7" s="38">
        <f>($C$5*Params!K9)</f>
        <v>25.484439695721111</v>
      </c>
      <c r="P7" s="38">
        <f>(O7*N7)</f>
        <v>10.500614597521576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0.41204023800000006</v>
      </c>
      <c r="O8" s="38">
        <f>($C$5*Params!K10)</f>
        <v>35.04110458161653</v>
      </c>
      <c r="P8" s="38">
        <f>(O8*N8)</f>
        <v>14.438345071592167</v>
      </c>
      <c r="R8" s="24">
        <f>(B10)</f>
        <v>0.49868085000000001</v>
      </c>
      <c r="S8" s="38">
        <f>(T8/R8)</f>
        <v>15.581107636276787</v>
      </c>
      <c r="T8" s="38">
        <f>(D10)</f>
        <v>7.77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0.41204023800000006</v>
      </c>
      <c r="O9" s="38">
        <f>($C$5*Params!K11)</f>
        <v>63.711099239302776</v>
      </c>
      <c r="P9" s="38">
        <f>(O9*N9)</f>
        <v>26.25153649380394</v>
      </c>
    </row>
    <row r="10" spans="2:21">
      <c r="B10" s="24">
        <v>0.49868085000000001</v>
      </c>
      <c r="C10" s="38">
        <f>(D10/B10)</f>
        <v>15.581107636276787</v>
      </c>
      <c r="D10" s="38">
        <v>7.77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59.722245523403963</v>
      </c>
    </row>
    <row r="12" spans="2:21">
      <c r="F12" t="s">
        <v>9</v>
      </c>
      <c r="G12" s="38">
        <f>(D13/B13)</f>
        <v>15.517582047521971</v>
      </c>
    </row>
    <row r="13" spans="2:21">
      <c r="B13" s="24">
        <f>(SUM(B5:B12))</f>
        <v>2.56910806</v>
      </c>
      <c r="D13" s="38">
        <f>(SUM(D5:D12))</f>
        <v>39.866345109999997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2.5691080600000005</v>
      </c>
      <c r="T13" s="38">
        <f>(SUM(T5:T12))</f>
        <v>39.866345109999997</v>
      </c>
    </row>
    <row r="14" spans="2:21">
      <c r="M14" t="s">
        <v>11</v>
      </c>
      <c r="N14" s="24">
        <f>($B$10)/5</f>
        <v>9.9736169999999999E-2</v>
      </c>
      <c r="O14" s="38">
        <f>($C$10*Params!K8)</f>
        <v>20.255439927159824</v>
      </c>
      <c r="P14" s="38">
        <f>(O14*N14)</f>
        <v>2.0201999999999996</v>
      </c>
    </row>
    <row r="15" spans="2:21">
      <c r="N15" s="24">
        <f>($B$10)/5</f>
        <v>9.9736169999999999E-2</v>
      </c>
      <c r="O15" s="38">
        <f>($C$10*Params!K9)</f>
        <v>24.92977221804286</v>
      </c>
      <c r="P15" s="38">
        <f>(O15*N15)</f>
        <v>2.4863999999999997</v>
      </c>
    </row>
    <row r="16" spans="2:21">
      <c r="N16" s="24">
        <f>($B$10)/5</f>
        <v>9.9736169999999999E-2</v>
      </c>
      <c r="O16" s="38">
        <f>($C$10*Params!K10)</f>
        <v>34.278436799808937</v>
      </c>
      <c r="P16" s="38">
        <f>(O16*N16)</f>
        <v>3.4188000000000001</v>
      </c>
    </row>
    <row r="17" spans="14:16">
      <c r="N17" s="24">
        <f>($B$10)/5</f>
        <v>9.9736169999999999E-2</v>
      </c>
      <c r="O17" s="38">
        <f>($C$10*Params!K11)</f>
        <v>62.324430545107148</v>
      </c>
      <c r="P17" s="38">
        <f>(O17*N17)</f>
        <v>6.2159999999999993</v>
      </c>
    </row>
    <row r="19" spans="14:16">
      <c r="P19" s="38">
        <f>(SUM(P14:P17))</f>
        <v>14.141399999999997</v>
      </c>
    </row>
  </sheetData>
  <conditionalFormatting sqref="C5 C9:C11 G12 O6:O9 O14:O17 S6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S8">
    <cfRule type="cellIs" dxfId="173" priority="11" operator="lessThan">
      <formula>$J$3</formula>
    </cfRule>
    <cfRule type="cellIs" dxfId="172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1.4418199999999999E-3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1.3773508046824339</v>
      </c>
      <c r="K4" s="4">
        <f>(J4/D13-1)</f>
        <v>-0.51367496244654387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254.44364305209521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139.08009626627043</v>
      </c>
      <c r="K4" s="4">
        <f>(J4/D17-1)</f>
        <v>-0.13395254219369623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8.5513813999999994E-2</v>
      </c>
      <c r="O6" s="38">
        <f>($S$8*Params!K8)</f>
        <v>390.11942561701198</v>
      </c>
      <c r="P6" s="38">
        <f>(O6*N6)</f>
        <v>33.360599999999998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5.9794256117242373E-2</v>
      </c>
      <c r="N7" s="24">
        <f>($R$8/5)</f>
        <v>8.5513813999999994E-2</v>
      </c>
      <c r="O7" s="38">
        <f>($S$8*Params!K9)</f>
        <v>480.14698537478398</v>
      </c>
      <c r="P7" s="38">
        <f>(O7*N7)</f>
        <v>41.059199999999997</v>
      </c>
      <c r="R7" s="51">
        <f>(B7+B8+B10)</f>
        <v>1.2546200000000001E-3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2.4167057217088003E-2</v>
      </c>
      <c r="N8" s="24">
        <f>($R$8/5)</f>
        <v>8.5513813999999994E-2</v>
      </c>
      <c r="O8" s="38">
        <f>($S$8*Params!K10)</f>
        <v>660.20210489032797</v>
      </c>
      <c r="P8" s="38">
        <f>(O8*N8)</f>
        <v>56.456399999999995</v>
      </c>
      <c r="R8" s="51">
        <f>(B11)</f>
        <v>0.42756907</v>
      </c>
      <c r="S8" s="38">
        <f>(C11)</f>
        <v>300.09186585923999</v>
      </c>
      <c r="T8" s="38">
        <f>(R8*S8)</f>
        <v>128.31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8.5513813999999994E-2</v>
      </c>
      <c r="O9" s="38">
        <f>($S$8*Params!K11)</f>
        <v>1200.36746343696</v>
      </c>
      <c r="P9" s="38">
        <f>(O9*N9)</f>
        <v>102.64799999999998</v>
      </c>
      <c r="R9" s="51">
        <f>(B12)</f>
        <v>0.10803667</v>
      </c>
      <c r="S9" s="38">
        <f>(C12)</f>
        <v>298.97256181627955</v>
      </c>
      <c r="T9" s="38">
        <f>(R9*S9)</f>
        <v>32.299999999999997</v>
      </c>
      <c r="U9" t="s">
        <v>15</v>
      </c>
    </row>
    <row r="10" spans="2:21">
      <c r="B10" s="52">
        <v>9.2464000000000001E-4</v>
      </c>
      <c r="C10" s="40">
        <v>0</v>
      </c>
      <c r="D10" s="26">
        <v>0</v>
      </c>
      <c r="E10" s="38">
        <f>(B10*J3)</f>
        <v>0.23526877011168931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0.42756907</v>
      </c>
      <c r="C11" s="38">
        <f>(D11/B11)</f>
        <v>300.09186585923999</v>
      </c>
      <c r="D11" s="38">
        <v>128.31</v>
      </c>
      <c r="E11" t="s">
        <v>10</v>
      </c>
      <c r="P11" s="38">
        <f>(SUM(P6:P9))</f>
        <v>233.52419999999995</v>
      </c>
    </row>
    <row r="12" spans="2:21">
      <c r="B12" s="51">
        <v>0.10803667</v>
      </c>
      <c r="C12" s="38">
        <f>(D12/B12)</f>
        <v>298.97256181627955</v>
      </c>
      <c r="D12" s="38">
        <v>32.299999999999997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2.1607333999999999E-2</v>
      </c>
      <c r="O14" s="38">
        <f>($S$9*Params!K8)</f>
        <v>388.66433036116342</v>
      </c>
      <c r="P14" s="38">
        <f>(O14*N14)</f>
        <v>8.3979999999999979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2.1607333999999999E-2</v>
      </c>
      <c r="O15" s="38">
        <f>($S$9*Params!K9)</f>
        <v>478.35609890604729</v>
      </c>
      <c r="P15" s="38">
        <f>(O15*N15)</f>
        <v>10.335999999999999</v>
      </c>
    </row>
    <row r="16" spans="2:21">
      <c r="N16" s="24">
        <f>($R$9/5)</f>
        <v>2.1607333999999999E-2</v>
      </c>
      <c r="O16" s="38">
        <f>($S$9*Params!K10)</f>
        <v>657.73963599581509</v>
      </c>
      <c r="P16" s="38">
        <f>(O16*N16)</f>
        <v>14.211999999999998</v>
      </c>
    </row>
    <row r="17" spans="2:16">
      <c r="B17" s="51">
        <f>(SUM(B5:B16))</f>
        <v>0.54660471999999993</v>
      </c>
      <c r="D17" s="38">
        <f>(SUM(D5:D16))</f>
        <v>160.59177244</v>
      </c>
      <c r="F17" t="s">
        <v>9</v>
      </c>
      <c r="G17" s="38">
        <f>(SUM(D5:D16)/SUM(B5:B16))</f>
        <v>293.7987298024064</v>
      </c>
      <c r="N17" s="24">
        <f>($R$9/5)</f>
        <v>2.1607333999999999E-2</v>
      </c>
      <c r="O17" s="38">
        <f>($S$9*Params!K11)</f>
        <v>1195.8902472651182</v>
      </c>
      <c r="P17" s="38">
        <f>(O17*N17)</f>
        <v>25.839999999999993</v>
      </c>
    </row>
    <row r="18" spans="2:16">
      <c r="P18" s="38"/>
    </row>
    <row r="19" spans="2:16">
      <c r="P19" s="38">
        <f>(SUM(P14:P17))</f>
        <v>58.785999999999987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7.1447200000000007E-4</v>
      </c>
      <c r="O22" s="38">
        <f>($S$5*Params!K8)</f>
        <v>323.96134165178148</v>
      </c>
      <c r="P22" s="38">
        <f>(O22*N22)</f>
        <v>0.23146130769263165</v>
      </c>
    </row>
    <row r="23" spans="2:16">
      <c r="N23" s="24">
        <f>(($R$5+$R$7)/5)</f>
        <v>7.1447200000000007E-4</v>
      </c>
      <c r="O23" s="38">
        <f>($S$5*Params!K9)</f>
        <v>398.72165126373102</v>
      </c>
      <c r="P23" s="38">
        <f>(O23*N23)</f>
        <v>0.28487545562170047</v>
      </c>
    </row>
    <row r="24" spans="2:16">
      <c r="N24" s="24">
        <f>(($R$5+$R$7)/5)</f>
        <v>7.1447200000000007E-4</v>
      </c>
      <c r="O24" s="38">
        <f>($S$5*Params!K10)</f>
        <v>548.24227048763021</v>
      </c>
      <c r="P24" s="38">
        <f>(O24*N24)</f>
        <v>0.39170375147983816</v>
      </c>
    </row>
    <row r="25" spans="2:16">
      <c r="N25" s="24">
        <f>(($R$5+$R$7)/5)</f>
        <v>7.1447200000000007E-4</v>
      </c>
      <c r="O25" s="38">
        <f>($S$5*Params!K11)</f>
        <v>996.80412815932755</v>
      </c>
      <c r="P25" s="38">
        <f>(O25*N25)</f>
        <v>0.71218863905425112</v>
      </c>
    </row>
    <row r="26" spans="2:16">
      <c r="P26" s="38"/>
    </row>
    <row r="27" spans="2:16">
      <c r="P27" s="38">
        <f>(SUM(P22:P25))</f>
        <v>1.6202291538484213</v>
      </c>
    </row>
    <row r="37" spans="18:20">
      <c r="R37" s="51">
        <f>(SUM(R5:R27))</f>
        <v>0.54660472000000004</v>
      </c>
      <c r="T37" s="38">
        <f>(SUM(T5:T27))</f>
        <v>160.59177244</v>
      </c>
    </row>
  </sheetData>
  <conditionalFormatting sqref="C5:C6 C9 C11:C14 O6:O9 O14 S5:S6 S8:S9">
    <cfRule type="cellIs" dxfId="153" priority="9" operator="lessThan">
      <formula>$J$3</formula>
    </cfRule>
    <cfRule type="cellIs" dxfId="152" priority="10" operator="greaterThan">
      <formula>$J$3</formula>
    </cfRule>
  </conditionalFormatting>
  <conditionalFormatting sqref="O15:O17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O22:O25">
    <cfRule type="cellIs" dxfId="149" priority="3" operator="lessThan">
      <formula>$J$3</formula>
    </cfRule>
    <cfRule type="cellIs" dxfId="148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6.9935069087545931E-2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4.2888501190544677</v>
      </c>
      <c r="K4" s="4">
        <f>(J4/D13-1)</f>
        <v>-0.14222997618910649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0.20705423000000001</v>
      </c>
      <c r="C6" s="40">
        <v>0</v>
      </c>
      <c r="D6" s="26">
        <f>(B6*C6)</f>
        <v>0</v>
      </c>
      <c r="E6" s="38">
        <f>(B6*J3)</f>
        <v>1.4480351879918626E-2</v>
      </c>
      <c r="M6" t="s">
        <v>11</v>
      </c>
      <c r="N6" s="29">
        <f>($B$13/5)</f>
        <v>12.265234523999998</v>
      </c>
      <c r="O6" s="38">
        <f>($C$5*Params!K8)</f>
        <v>0.10634970155367125</v>
      </c>
      <c r="P6" s="38">
        <f>(O6*N6)</f>
        <v>1.3044040311131848</v>
      </c>
    </row>
    <row r="7" spans="2:16">
      <c r="N7" s="29">
        <f>($B$13/5)</f>
        <v>12.265234523999998</v>
      </c>
      <c r="O7" s="38">
        <f>($C$5*Params!K9)</f>
        <v>0.13089194037374924</v>
      </c>
      <c r="P7" s="38">
        <f>(O7*N7)</f>
        <v>1.6054203459854584</v>
      </c>
    </row>
    <row r="8" spans="2:16">
      <c r="N8" s="29">
        <f>($B$13/5)</f>
        <v>12.265234523999998</v>
      </c>
      <c r="O8" s="38">
        <f>($C$5*Params!K10)</f>
        <v>0.17997641801390521</v>
      </c>
      <c r="P8" s="38">
        <f>(O8*N8)</f>
        <v>2.2074529757300052</v>
      </c>
    </row>
    <row r="9" spans="2:16">
      <c r="N9" s="29">
        <f>($B$13/5)</f>
        <v>12.265234523999998</v>
      </c>
      <c r="O9" s="38">
        <f>($C$5*Params!K11)</f>
        <v>0.32722985093437307</v>
      </c>
      <c r="P9" s="38">
        <f>(O9*N9)</f>
        <v>4.013550864963646</v>
      </c>
    </row>
    <row r="11" spans="2:16">
      <c r="P11" s="38">
        <f>(SUM(P6:P9))</f>
        <v>9.1308282177922955</v>
      </c>
    </row>
    <row r="12" spans="2:16">
      <c r="F12" t="s">
        <v>9</v>
      </c>
      <c r="G12" s="38">
        <f>(D13/B13)</f>
        <v>8.1531257966837065E-2</v>
      </c>
    </row>
    <row r="13" spans="2:16">
      <c r="B13" s="29">
        <f>(SUM(B5:B12))</f>
        <v>61.326172619999994</v>
      </c>
      <c r="D13" s="38">
        <f>(SUM(D5:D12))</f>
        <v>5</v>
      </c>
    </row>
  </sheetData>
  <conditionalFormatting sqref="O6:O9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C5">
    <cfRule type="cellIs" dxfId="145" priority="3" operator="lessThan">
      <formula>$J$3</formula>
    </cfRule>
    <cfRule type="cellIs" dxfId="144" priority="4" operator="greaterThan">
      <formula>$J$3</formula>
    </cfRule>
  </conditionalFormatting>
  <conditionalFormatting sqref="G12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5.5964541663967564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32.079835969108416</v>
      </c>
      <c r="K4" s="4">
        <f>(J4/D14-1)</f>
        <v>-1.5785175802428553E-2</v>
      </c>
      <c r="R4" t="s">
        <v>5</v>
      </c>
      <c r="S4" t="s">
        <v>6</v>
      </c>
      <c r="T4" t="s">
        <v>7</v>
      </c>
    </row>
    <row r="5" spans="2:21">
      <c r="B5" s="24">
        <v>5.6205673300000001</v>
      </c>
      <c r="C5" s="38">
        <f>(D5/B5)</f>
        <v>5.7467508355602241</v>
      </c>
      <c r="D5" s="38">
        <v>32.299999999999997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2.3822880000000001E-2</v>
      </c>
      <c r="S5" s="40">
        <v>0</v>
      </c>
      <c r="T5" s="26">
        <f>(D6)</f>
        <v>0</v>
      </c>
      <c r="U5">
        <f>(R5*J3)</f>
        <v>0.13332365603156995</v>
      </c>
    </row>
    <row r="6" spans="2:21">
      <c r="B6" s="25">
        <v>2.3822880000000001E-2</v>
      </c>
      <c r="C6" s="40">
        <v>0</v>
      </c>
      <c r="D6" s="26">
        <f>(B6*C6)</f>
        <v>0</v>
      </c>
      <c r="E6" s="38">
        <f>(B6*J3)</f>
        <v>0.13332365603156995</v>
      </c>
      <c r="M6" t="s">
        <v>11</v>
      </c>
      <c r="N6" s="24">
        <f>($B$14/5)</f>
        <v>1.1464343320000001</v>
      </c>
      <c r="O6" s="38">
        <f>($S$6*Params!K8)</f>
        <v>7.4707760862282919</v>
      </c>
      <c r="P6" s="38">
        <f>(O6*N6)</f>
        <v>8.5647541919367072</v>
      </c>
      <c r="R6" s="24">
        <f>B5</f>
        <v>5.6205673300000001</v>
      </c>
      <c r="S6" s="38">
        <f>(T6/R6)</f>
        <v>5.7467508355602241</v>
      </c>
      <c r="T6" s="38">
        <f>D5</f>
        <v>32.299999999999997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1.1464343320000001</v>
      </c>
      <c r="O7" s="38">
        <f>($S$6*Params!K9)</f>
        <v>9.1948013368963597</v>
      </c>
      <c r="P7" s="38">
        <f>(O7*N7)</f>
        <v>10.541235928537485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1.1464343320000001</v>
      </c>
      <c r="O8" s="38">
        <f>($C$5*Params!K10)</f>
        <v>12.642851838232493</v>
      </c>
      <c r="P8" s="38">
        <f>(O8*N8)</f>
        <v>14.494199401739042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1.1464343320000001</v>
      </c>
      <c r="O9" s="38">
        <f>($C$5*Params!K11)</f>
        <v>22.987003342240897</v>
      </c>
      <c r="P9" s="38">
        <f>(O9*N9)</f>
        <v>26.353089821343712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59.953279343556943</v>
      </c>
    </row>
    <row r="13" spans="2:21">
      <c r="F13" t="s">
        <v>9</v>
      </c>
      <c r="G13" s="38">
        <f>(D14/B14)</f>
        <v>5.6862120228269628</v>
      </c>
      <c r="N13" s="24"/>
      <c r="P13" s="38"/>
      <c r="R13" s="24">
        <f>(SUM(R5:R12))</f>
        <v>5.7321716599999997</v>
      </c>
      <c r="T13" s="38">
        <f>(SUM(T5:T12))</f>
        <v>32.59434341</v>
      </c>
    </row>
    <row r="14" spans="2:21">
      <c r="B14">
        <f>(SUM(B5:B13))</f>
        <v>5.7321716600000006</v>
      </c>
      <c r="D14" s="38">
        <f>(SUM(D5:D13))</f>
        <v>32.594343409999993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1" priority="15" operator="lessThan">
      <formula>$J$3</formula>
    </cfRule>
    <cfRule type="cellIs" dxfId="140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36.830618896474199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4.5396864709448757</v>
      </c>
      <c r="K4" s="4">
        <f>(J4/D13-1)</f>
        <v>-0.1269833709721393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2.4108200000000002E-3</v>
      </c>
      <c r="C6" s="40">
        <v>0</v>
      </c>
      <c r="D6" s="26">
        <f>(B6*C6)</f>
        <v>0</v>
      </c>
      <c r="E6" s="38">
        <f>(B6*J3)</f>
        <v>8.8791992647997933E-2</v>
      </c>
      <c r="M6" t="s">
        <v>11</v>
      </c>
      <c r="N6" s="24">
        <f>($B$13/5)</f>
        <v>2.4651698E-2</v>
      </c>
      <c r="O6" s="38">
        <f>($C$5*Params!K8)</f>
        <v>55.939</v>
      </c>
      <c r="P6" s="38">
        <f>(O6*N6)</f>
        <v>1.3789913344219999</v>
      </c>
    </row>
    <row r="7" spans="2:16">
      <c r="N7" s="24">
        <f>($B$13/5)</f>
        <v>2.4651698E-2</v>
      </c>
      <c r="O7" s="38">
        <f>($C$5*Params!K9)</f>
        <v>68.847999999999999</v>
      </c>
      <c r="P7" s="38">
        <f>(O7*N7)</f>
        <v>1.697220103904</v>
      </c>
    </row>
    <row r="8" spans="2:16">
      <c r="N8" s="24">
        <f>($B$13/5)</f>
        <v>2.4651698E-2</v>
      </c>
      <c r="O8" s="38">
        <f>($C$5*Params!K10)</f>
        <v>94.666000000000011</v>
      </c>
      <c r="P8" s="38">
        <f>(O8*N8)</f>
        <v>2.3336776428680004</v>
      </c>
    </row>
    <row r="9" spans="2:16">
      <c r="N9" s="24">
        <f>($B$13/5)</f>
        <v>2.4651698E-2</v>
      </c>
      <c r="O9" s="38">
        <f>($C$5*Params!K11)</f>
        <v>172.12</v>
      </c>
      <c r="P9" s="38">
        <f>(O9*N9)</f>
        <v>4.2430502597600004</v>
      </c>
    </row>
    <row r="11" spans="2:16">
      <c r="P11" s="38">
        <f>(SUM(P6:P9))</f>
        <v>9.652939340954001</v>
      </c>
    </row>
    <row r="12" spans="2:16">
      <c r="F12" t="s">
        <v>9</v>
      </c>
      <c r="G12" s="38">
        <f>(D13/B13)</f>
        <v>42.18776329322224</v>
      </c>
    </row>
    <row r="13" spans="2:16">
      <c r="B13">
        <f>(SUM(B5:B12))</f>
        <v>0.12325849</v>
      </c>
      <c r="D13" s="38">
        <f>(SUM(D5:D12))</f>
        <v>5.2</v>
      </c>
    </row>
  </sheetData>
  <conditionalFormatting sqref="C5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4.4033399075365116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6.6549366024455816</v>
      </c>
      <c r="K4" s="4">
        <f>(J4/D10-1)</f>
        <v>-0.13347179655656483</v>
      </c>
    </row>
    <row r="5" spans="2:16">
      <c r="B5" s="1">
        <v>1.51032945</v>
      </c>
      <c r="C5" s="38">
        <f>(D5/B5)</f>
        <v>5.0849832796414054</v>
      </c>
      <c r="D5" s="38">
        <v>7.68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1.0089299999999999E-3</v>
      </c>
      <c r="C6" s="40">
        <v>0</v>
      </c>
      <c r="D6" s="26">
        <f>(B6*C6)</f>
        <v>0</v>
      </c>
      <c r="E6" s="38">
        <f>(B6*J3)</f>
        <v>4.4426617329108124E-3</v>
      </c>
      <c r="M6" t="s">
        <v>11</v>
      </c>
      <c r="N6" s="24">
        <f>($B$10/5)</f>
        <v>0.30226767599999999</v>
      </c>
      <c r="O6" s="38">
        <f>($C$5*Params!K8)</f>
        <v>6.6104782635338273</v>
      </c>
      <c r="P6" s="38">
        <f>(O6*N6)</f>
        <v>1.9981339019668853</v>
      </c>
    </row>
    <row r="7" spans="2:16">
      <c r="N7" s="24">
        <f>($B$10/5)</f>
        <v>0.30226767599999999</v>
      </c>
      <c r="O7" s="38">
        <f>($C$5*Params!K9)</f>
        <v>8.1359732474262483</v>
      </c>
      <c r="P7" s="38">
        <f>(O7*N7)</f>
        <v>2.459241725497705</v>
      </c>
    </row>
    <row r="8" spans="2:16">
      <c r="N8" s="24">
        <f>($B$10/5)</f>
        <v>0.30226767599999999</v>
      </c>
      <c r="O8" s="38">
        <f>($C$5*Params!K10)</f>
        <v>11.186963215211092</v>
      </c>
      <c r="P8" s="38">
        <f>(O8*N8)</f>
        <v>3.3814573725593444</v>
      </c>
    </row>
    <row r="9" spans="2:16">
      <c r="F9" t="s">
        <v>9</v>
      </c>
      <c r="G9" s="38">
        <f>(D10/B10)</f>
        <v>5.0815886777122667</v>
      </c>
      <c r="N9" s="24">
        <f>($B$10/5)</f>
        <v>0.30226767599999999</v>
      </c>
      <c r="O9" s="38">
        <f>($C$5*Params!K11)</f>
        <v>20.339933118565622</v>
      </c>
      <c r="P9" s="38">
        <f>(O9*N9)</f>
        <v>6.1481043137442626</v>
      </c>
    </row>
    <row r="10" spans="2:16">
      <c r="B10">
        <f>(SUM(B5:B9))</f>
        <v>1.51133838</v>
      </c>
      <c r="D10" s="38">
        <f>(SUM(D5:D9))</f>
        <v>7.68</v>
      </c>
    </row>
    <row r="11" spans="2:16">
      <c r="P11" s="38">
        <f>(SUM(P6:P9))</f>
        <v>13.986937313768198</v>
      </c>
    </row>
    <row r="12" spans="2:16">
      <c r="P12" s="38"/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6" sqref="N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2.31763373381296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9.9064345321499054</v>
      </c>
      <c r="K4" s="4">
        <f>(J4/D10-1)</f>
        <v>3.5155123526635856E-2</v>
      </c>
    </row>
    <row r="5" spans="2:16">
      <c r="B5" s="1">
        <v>4.26000259</v>
      </c>
      <c r="C5" s="38">
        <f>(D5/B5)</f>
        <v>2.2464775074232994</v>
      </c>
      <c r="D5" s="38">
        <v>9.57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1.437191E-2</v>
      </c>
      <c r="C6" s="40">
        <v>0</v>
      </c>
      <c r="D6" s="26">
        <f>(B6*C6)</f>
        <v>0</v>
      </c>
      <c r="E6" s="38">
        <f>(B6*J3)</f>
        <v>3.330882343532382E-2</v>
      </c>
      <c r="M6" t="s">
        <v>11</v>
      </c>
      <c r="N6" s="1">
        <f>($B$10/5)</f>
        <v>0.8548749000000001</v>
      </c>
      <c r="O6" s="38">
        <f>($C$5*Params!K8)</f>
        <v>2.9204207596502894</v>
      </c>
      <c r="P6" s="38">
        <f>(O6*N6)</f>
        <v>2.4965944048639654</v>
      </c>
    </row>
    <row r="7" spans="2:16">
      <c r="N7" s="1">
        <f>($B$10/5)</f>
        <v>0.8548749000000001</v>
      </c>
      <c r="O7" s="38">
        <f>($C$5*Params!K9)</f>
        <v>3.5943640118772793</v>
      </c>
      <c r="P7" s="38">
        <f>(O7*N7)</f>
        <v>3.0727315752171882</v>
      </c>
    </row>
    <row r="8" spans="2:16">
      <c r="N8" s="1">
        <f>($B$10/5)</f>
        <v>0.8548749000000001</v>
      </c>
      <c r="O8" s="38">
        <f>($C$5*Params!K10)</f>
        <v>4.9422505163312591</v>
      </c>
      <c r="P8" s="38">
        <f>(O8*N8)</f>
        <v>4.2250059159236342</v>
      </c>
    </row>
    <row r="9" spans="2:16">
      <c r="F9" t="s">
        <v>9</v>
      </c>
      <c r="G9" s="38">
        <f>(D10/B10)</f>
        <v>2.2389240811725784</v>
      </c>
      <c r="N9" s="1">
        <f>($B$10/5)</f>
        <v>0.8548749000000001</v>
      </c>
      <c r="O9" s="38">
        <f>($C$5*Params!K11)</f>
        <v>8.9859100296931977</v>
      </c>
      <c r="P9" s="38">
        <f>(O9*N9)</f>
        <v>7.6818289380429707</v>
      </c>
    </row>
    <row r="10" spans="2:16">
      <c r="B10" s="1">
        <f>(SUM(B5:B9))</f>
        <v>4.2743745000000004</v>
      </c>
      <c r="D10" s="38">
        <f>(SUM(D5:D9))</f>
        <v>9.57</v>
      </c>
    </row>
    <row r="11" spans="2:16">
      <c r="P11" s="38">
        <f>(SUM(P6:P9))</f>
        <v>17.476160834047761</v>
      </c>
    </row>
  </sheetData>
  <conditionalFormatting sqref="C5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6:O9">
    <cfRule type="cellIs" dxfId="127" priority="3" operator="lessThan">
      <formula>$J$3</formula>
    </cfRule>
    <cfRule type="cellIs" dxfId="126" priority="4" operator="greaterThan">
      <formula>$J$3</formula>
    </cfRule>
  </conditionalFormatting>
  <conditionalFormatting sqref="G9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24" sqref="B2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31175.616149982321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899.90037148963791</v>
      </c>
      <c r="K4" s="4">
        <f>(J4/D37-1)</f>
        <v>0.3170911409814352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3.235E-4</v>
      </c>
      <c r="C6" s="40">
        <v>0</v>
      </c>
      <c r="D6" s="26">
        <f>(B6*C6)</f>
        <v>0</v>
      </c>
      <c r="E6" s="38">
        <f>(B6*J3)</f>
        <v>10.08531182451928</v>
      </c>
      <c r="I6" t="s">
        <v>11</v>
      </c>
      <c r="J6">
        <v>0.03</v>
      </c>
      <c r="R6" s="24">
        <f t="shared" si="0"/>
        <v>3.235E-4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1.1344799999999933E-3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35.368113009831731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5.6685499999999996E-3</v>
      </c>
      <c r="S19" s="38">
        <f t="shared" si="2"/>
        <v>22916.971500648313</v>
      </c>
      <c r="T19" s="38">
        <f>(D23+17438.6*B32)</f>
        <v>129.90599879999999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1.2795899999999999E-3</v>
      </c>
      <c r="S20" s="38">
        <f t="shared" si="2"/>
        <v>24542.204063801684</v>
      </c>
      <c r="T20" s="38">
        <f>(D24+17211.7*B31)</f>
        <v>31.403958897999996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6.0105499999999999E-3</v>
      </c>
      <c r="C23" s="38">
        <f t="shared" si="3"/>
        <v>22605.252431141911</v>
      </c>
      <c r="D23" s="38">
        <v>135.87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1.33165E-3</v>
      </c>
      <c r="C24" s="38">
        <f t="shared" si="3"/>
        <v>24255.622723688655</v>
      </c>
      <c r="D24" s="38">
        <v>32.299999999999997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1.55882E-3</v>
      </c>
      <c r="S24" s="38">
        <f>(T24/R24)</f>
        <v>25756.662090555674</v>
      </c>
      <c r="T24" s="38">
        <f>(D34)</f>
        <v>40.15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1.55882E-3</v>
      </c>
      <c r="C34" s="38">
        <f>(D34/B34)</f>
        <v>25756.662090555674</v>
      </c>
      <c r="D34" s="38">
        <v>40.15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23670.052268935393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2.8136249999999998E-2</v>
      </c>
      <c r="T36" s="38">
        <f>(SUM(T5:T25))</f>
        <v>499.16980016999997</v>
      </c>
    </row>
    <row r="37" spans="2:20">
      <c r="B37">
        <f>(SUM(B5:B36))</f>
        <v>2.8865520000000006E-2</v>
      </c>
      <c r="D37" s="38">
        <f>(SUM(D5:D36))</f>
        <v>683.24836717000005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2.06222E-3</v>
      </c>
      <c r="N50" s="38">
        <f>($S$19*Params!K16)</f>
        <v>45833.943001296626</v>
      </c>
      <c r="O50" s="41">
        <f>(N50*M50)</f>
        <v>94.519673936133927</v>
      </c>
    </row>
    <row r="51" spans="12:16">
      <c r="M51">
        <f>($B$23/5)</f>
        <v>1.2021099999999999E-3</v>
      </c>
      <c r="N51" s="38">
        <f>($S$19*Params!K17)</f>
        <v>91667.886002593252</v>
      </c>
      <c r="O51" s="41">
        <f>(N51*M51)</f>
        <v>110.19488244257737</v>
      </c>
    </row>
    <row r="52" spans="12:16">
      <c r="M52">
        <f>($B$23/5)</f>
        <v>1.2021099999999999E-3</v>
      </c>
      <c r="N52" s="38">
        <f>($S$19*Params!K18)</f>
        <v>183335.7720051865</v>
      </c>
      <c r="O52" s="41">
        <f>(N52*M52)</f>
        <v>220.38976488515473</v>
      </c>
    </row>
    <row r="54" spans="12:16">
      <c r="O54" s="41">
        <f>(SUM(O49:O52))</f>
        <v>432.55992126386604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4.8060000000000003E-4</v>
      </c>
      <c r="N58" s="38">
        <f>($S$20*Params!K16)</f>
        <v>49084.408127603368</v>
      </c>
      <c r="O58" s="41">
        <f>(N58*M58)</f>
        <v>23.589966546126181</v>
      </c>
    </row>
    <row r="59" spans="12:16">
      <c r="M59">
        <f>($B$24/5)</f>
        <v>2.6633000000000001E-4</v>
      </c>
      <c r="N59" s="38">
        <f>($S$20*Params!K17)</f>
        <v>98168.816255206737</v>
      </c>
      <c r="O59" s="41">
        <f>(N59*M59)</f>
        <v>26.145300833249213</v>
      </c>
    </row>
    <row r="60" spans="12:16">
      <c r="M60">
        <f>($B$24/5)</f>
        <v>2.6633000000000001E-4</v>
      </c>
      <c r="N60" s="38">
        <f>($S$20*Params!K18)</f>
        <v>196337.63251041347</v>
      </c>
      <c r="O60" s="41">
        <f>(N60*M60)</f>
        <v>52.290601666498425</v>
      </c>
    </row>
    <row r="62" spans="12:16">
      <c r="O62" s="41">
        <f>(SUM(O57:O60))</f>
        <v>103.14828264587382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3.1176400000000002E-4</v>
      </c>
      <c r="N73" s="38">
        <f>($S$24*Params!K15)</f>
        <v>38634.993135833509</v>
      </c>
      <c r="O73" s="41">
        <f>(N73*M73)</f>
        <v>12.044999999999998</v>
      </c>
    </row>
    <row r="74" spans="12:16">
      <c r="M74">
        <f>($R$24/5)</f>
        <v>3.1176400000000002E-4</v>
      </c>
      <c r="N74" s="38">
        <f>($S$24*Params!K16)</f>
        <v>51513.324181111348</v>
      </c>
      <c r="O74" s="41">
        <f>(N74*M74)</f>
        <v>16.059999999999999</v>
      </c>
    </row>
    <row r="75" spans="12:16">
      <c r="M75">
        <f>($R$24/5)</f>
        <v>3.1176400000000002E-4</v>
      </c>
      <c r="N75" s="38">
        <f>($S$24*Params!K17)</f>
        <v>103026.6483622227</v>
      </c>
      <c r="O75" s="41">
        <f>(N75*M75)</f>
        <v>32.119999999999997</v>
      </c>
    </row>
    <row r="76" spans="12:16">
      <c r="M76">
        <f>($R$24/5)</f>
        <v>3.1176400000000002E-4</v>
      </c>
      <c r="N76" s="38">
        <f>($S$24*Params!K18)</f>
        <v>206053.29672444539</v>
      </c>
      <c r="O76" s="41">
        <f>(N76*M76)</f>
        <v>64.239999999999995</v>
      </c>
    </row>
    <row r="78" spans="12:16">
      <c r="O78" s="41">
        <f>(SUM(O73:O76))</f>
        <v>124.46499999999999</v>
      </c>
    </row>
  </sheetData>
  <conditionalFormatting sqref="C5 C7:C17 C19:C20 C22:C25 C34:C35 G36 N10:N12 N20 N26:N28 N34 S5 S7:S21 S24">
    <cfRule type="cellIs" dxfId="249" priority="45" operator="lessThan">
      <formula>$J$3</formula>
    </cfRule>
    <cfRule type="cellIs" dxfId="248" priority="46" operator="greaterThan">
      <formula>$J$3</formula>
    </cfRule>
  </conditionalFormatting>
  <conditionalFormatting sqref="N35:N36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N42:N44">
    <cfRule type="cellIs" dxfId="245" priority="17" operator="lessThan">
      <formula>$J$3</formula>
    </cfRule>
    <cfRule type="cellIs" dxfId="244" priority="18" operator="greaterThan">
      <formula>$J$3</formula>
    </cfRule>
  </conditionalFormatting>
  <conditionalFormatting sqref="N50:N52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N58:N60">
    <cfRule type="cellIs" dxfId="241" priority="13" operator="lessThan">
      <formula>$J$3</formula>
    </cfRule>
    <cfRule type="cellIs" dxfId="240" priority="14" operator="greaterThan">
      <formula>$J$3</formula>
    </cfRule>
  </conditionalFormatting>
  <conditionalFormatting sqref="N66:N68">
    <cfRule type="cellIs" dxfId="239" priority="11" operator="lessThan">
      <formula>$J$3</formula>
    </cfRule>
    <cfRule type="cellIs" dxfId="238" priority="12" operator="greaterThan">
      <formula>$J$3</formula>
    </cfRule>
  </conditionalFormatting>
  <conditionalFormatting sqref="N73:N76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N4">
    <cfRule type="cellIs" dxfId="235" priority="1" operator="greaterThan">
      <formula>$J$3</formula>
    </cfRule>
    <cfRule type="cellIs" dxfId="23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7.0716438242012476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8.2109454703868217</v>
      </c>
      <c r="K4" s="4">
        <f>(J4/D10-1)</f>
        <v>4.8652039640717959E-2</v>
      </c>
    </row>
    <row r="5" spans="2:16">
      <c r="B5" s="1">
        <v>1.1600703000000001</v>
      </c>
      <c r="C5" s="38">
        <f>(D5/B5)</f>
        <v>6.7495909515138859</v>
      </c>
      <c r="D5" s="38">
        <v>7.83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1.03816E-3</v>
      </c>
      <c r="C6" s="40">
        <v>0</v>
      </c>
      <c r="D6" s="26">
        <f>(B6*C6)</f>
        <v>0</v>
      </c>
      <c r="E6" s="38">
        <f>(B6*J3)</f>
        <v>7.3414977525327668E-3</v>
      </c>
      <c r="M6" t="s">
        <v>11</v>
      </c>
      <c r="N6" s="24">
        <f>($B$10/5)</f>
        <v>0.23222169200000004</v>
      </c>
      <c r="O6" s="38">
        <f>($C$5*Params!K8)</f>
        <v>8.7744682369680511</v>
      </c>
      <c r="P6" s="38">
        <f>(O6*N6)</f>
        <v>2.037621860388978</v>
      </c>
    </row>
    <row r="7" spans="2:16">
      <c r="C7" s="38"/>
      <c r="D7" s="38"/>
      <c r="N7" s="24">
        <f>($B$10/5)</f>
        <v>0.23222169200000004</v>
      </c>
      <c r="O7" s="38">
        <f>($C$5*Params!K9)</f>
        <v>10.799345522422218</v>
      </c>
      <c r="P7" s="38">
        <f>(O7*N7)</f>
        <v>2.5078422897095116</v>
      </c>
    </row>
    <row r="8" spans="2:16">
      <c r="C8" s="38"/>
      <c r="D8" s="38"/>
      <c r="N8" s="24">
        <f>($B$10/5)</f>
        <v>0.23222169200000004</v>
      </c>
      <c r="O8" s="38">
        <f>($C$5*Params!K10)</f>
        <v>14.84910009333055</v>
      </c>
      <c r="P8" s="38">
        <f>(O8*N8)</f>
        <v>3.4482831483505789</v>
      </c>
    </row>
    <row r="9" spans="2:16">
      <c r="C9" s="38"/>
      <c r="D9" s="38"/>
      <c r="F9" t="s">
        <v>9</v>
      </c>
      <c r="G9" s="38">
        <f>(D10/B10)</f>
        <v>6.7435560671050485</v>
      </c>
      <c r="N9" s="24">
        <f>($B$10/5)</f>
        <v>0.23222169200000004</v>
      </c>
      <c r="O9" s="38">
        <f>($C$5*Params!K11)</f>
        <v>26.998363806055544</v>
      </c>
      <c r="P9" s="38">
        <f>(O9*N9)</f>
        <v>6.269605724273779</v>
      </c>
    </row>
    <row r="10" spans="2:16">
      <c r="B10">
        <f>(SUM(B5:B9))</f>
        <v>1.1611084600000001</v>
      </c>
      <c r="C10" s="38"/>
      <c r="D10" s="38">
        <f>(SUM(D5:D9))</f>
        <v>7.83</v>
      </c>
      <c r="O10" s="38"/>
      <c r="P10" s="38"/>
    </row>
    <row r="11" spans="2:16">
      <c r="O11" s="38"/>
      <c r="P11" s="38">
        <f>(SUM(P6:P9))</f>
        <v>14.263353022722846</v>
      </c>
    </row>
  </sheetData>
  <conditionalFormatting sqref="O6:O9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C5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G9">
    <cfRule type="cellIs" dxfId="119" priority="1" operator="lessThan">
      <formula>$J$3</formula>
    </cfRule>
    <cfRule type="cellIs" dxfId="11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100.4179463380918</v>
      </c>
      <c r="M3" t="s">
        <v>4</v>
      </c>
      <c r="N3" s="24">
        <f>(INDEX(N5:N13,MATCH(MAX(O6:O7),O5:O13,0))/0.9)</f>
        <v>3.4734444444444443E-2</v>
      </c>
      <c r="O3" s="39">
        <f>(MAX(O6:O7)*0.85)</f>
        <v>94.263486580723608</v>
      </c>
      <c r="P3" s="38">
        <f>(O3*N3)</f>
        <v>3.2741898377777785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9.4185526582207402</v>
      </c>
      <c r="K4" s="4">
        <f>(J4/D13-1)</f>
        <v>1.362980495879802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5.2223000000000005E-4</v>
      </c>
      <c r="C6" s="40">
        <v>0</v>
      </c>
      <c r="D6" s="26">
        <f>(B6*C6)</f>
        <v>0</v>
      </c>
      <c r="E6" s="38">
        <f>(B6*J3)</f>
        <v>5.2441264116141681E-2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5.2223000000000005E-4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>(D7/B7)</f>
        <v>68.808808808808806</v>
      </c>
      <c r="D7" s="38">
        <v>9.9672999999999998</v>
      </c>
      <c r="N7" s="51">
        <f>-B11</f>
        <v>3.1260999999999997E-2</v>
      </c>
      <c r="O7" s="38">
        <f>P7/N7</f>
        <v>110.89821950673365</v>
      </c>
      <c r="P7" s="38">
        <f>-D11</f>
        <v>3.4667892400000002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>(D8/B8)</f>
        <v>91.202314270075746</v>
      </c>
      <c r="D8" s="38">
        <v>-2.7826464500000001</v>
      </c>
      <c r="N8" s="51">
        <f>(SUM($B$5:$B$9)/5)</f>
        <v>3.1261704000000001E-2</v>
      </c>
      <c r="O8" s="38">
        <f>($C$7*Params!K10)</f>
        <v>151.37937937937937</v>
      </c>
      <c r="P8" s="38">
        <f>(O8*N8)</f>
        <v>4.7323773498618618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1">
      <c r="B9" s="1">
        <v>3.3835320000000002E-2</v>
      </c>
      <c r="C9" s="38">
        <f>(D9/B9)</f>
        <v>77.433876789106762</v>
      </c>
      <c r="D9" s="38">
        <v>2.62</v>
      </c>
      <c r="N9" s="51">
        <f>(SUM($B$5:$B$9)/5)</f>
        <v>3.1261704000000001E-2</v>
      </c>
      <c r="O9" s="38">
        <f>($C$7*Params!K11)</f>
        <v>275.23523523523522</v>
      </c>
      <c r="P9" s="38">
        <f>(O9*N9)</f>
        <v>8.6043224542942944</v>
      </c>
      <c r="R9" s="24">
        <f>B10+B11</f>
        <v>-6.2514999999999987E-2</v>
      </c>
      <c r="S9" s="38">
        <f>T9/R9</f>
        <v>101.07614588498764</v>
      </c>
      <c r="T9" s="38">
        <f>D10+D11</f>
        <v>-6.3187752600000007</v>
      </c>
      <c r="U9" s="39"/>
    </row>
    <row r="10" spans="2:21">
      <c r="B10" s="1">
        <v>-3.1253999999999997E-2</v>
      </c>
      <c r="C10" s="38">
        <f>(D10/B10)</f>
        <v>91.251872400332772</v>
      </c>
      <c r="D10" s="38">
        <v>-2.85198602</v>
      </c>
      <c r="O10" s="38"/>
      <c r="P10" s="38"/>
    </row>
    <row r="11" spans="2:21">
      <c r="B11" s="1">
        <v>-3.1260999999999997E-2</v>
      </c>
      <c r="C11" s="38">
        <f>(D11/B11)</f>
        <v>110.89821950673365</v>
      </c>
      <c r="D11" s="38">
        <v>-3.4667892400000002</v>
      </c>
      <c r="O11" s="38"/>
      <c r="P11" s="38">
        <f>(SUM(P6:P9))</f>
        <v>19.655475064156157</v>
      </c>
    </row>
    <row r="12" spans="2:21">
      <c r="F12" t="s">
        <v>9</v>
      </c>
      <c r="G12" s="38">
        <f>(D13/B13)</f>
        <v>42.496307740662687</v>
      </c>
    </row>
    <row r="13" spans="2:21">
      <c r="B13">
        <f>(SUM(B5:B12))</f>
        <v>9.3793520000000005E-2</v>
      </c>
      <c r="D13" s="38">
        <f>(SUM(D5:D12))</f>
        <v>3.9858782900000009</v>
      </c>
    </row>
    <row r="19" spans="18:20">
      <c r="R19">
        <f>(SUM(R5:R18))</f>
        <v>9.3793520000000019E-2</v>
      </c>
      <c r="T19" s="38">
        <f>(SUM(T5:T18))</f>
        <v>3.9858782899999987</v>
      </c>
    </row>
    <row r="33" spans="9:9">
      <c r="I33" s="39"/>
    </row>
  </sheetData>
  <conditionalFormatting sqref="C5 C7 O8:O9 S5 S7">
    <cfRule type="cellIs" dxfId="117" priority="15" operator="lessThan">
      <formula>$J$3</formula>
    </cfRule>
    <cfRule type="cellIs" dxfId="116" priority="16" operator="greaterThan">
      <formula>$J$3</formula>
    </cfRule>
  </conditionalFormatting>
  <conditionalFormatting sqref="C9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O3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13" sqref="B13:D14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0.62048721461083012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1.3969818915050149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4.2988779999999997E-2</v>
      </c>
      <c r="C6" s="40">
        <v>0</v>
      </c>
      <c r="D6" s="26">
        <f>(B6*C6)</f>
        <v>0</v>
      </c>
      <c r="E6" s="38">
        <f>(B6*J3)</f>
        <v>2.6673988361717759E-2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2.2514273600000005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8.8381152757187467E-5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30.026601046957293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4585.1238578800003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4585.1238578800003</v>
      </c>
      <c r="C18" s="40">
        <v>0</v>
      </c>
      <c r="D18" s="26">
        <f>(B18*C18)</f>
        <v>0</v>
      </c>
      <c r="E18" s="38">
        <f>(B18*J3)</f>
        <v>0.40523853209391703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5.4877771799886732</v>
      </c>
    </row>
    <row r="37" spans="2:20">
      <c r="B37">
        <f>(SUM(B5:B36))</f>
        <v>339739.86659181048</v>
      </c>
      <c r="D37" s="38">
        <f>(SUM(D5:D36))</f>
        <v>-21.780357561799917</v>
      </c>
      <c r="F37" t="s">
        <v>9</v>
      </c>
      <c r="G37" s="28">
        <f>(D37/B37)</f>
        <v>-6.4108924808546261E-5</v>
      </c>
      <c r="R37">
        <f>(SUM(R5:R36))</f>
        <v>339739.86659181048</v>
      </c>
      <c r="T37">
        <f>(SUM(T5:T36))</f>
        <v>-21.78035756179991</v>
      </c>
    </row>
  </sheetData>
  <conditionalFormatting sqref="C5:C9 C14:C16 C25:C26 C28 C30 C32 C35">
    <cfRule type="cellIs" dxfId="111" priority="13" operator="lessThan">
      <formula>$J$3</formula>
    </cfRule>
    <cfRule type="cellIs" dxfId="110" priority="14" operator="greaterThan">
      <formula>$J$3</formula>
    </cfRule>
  </conditionalFormatting>
  <conditionalFormatting sqref="N6">
    <cfRule type="cellIs" dxfId="109" priority="9" operator="lessThan">
      <formula>$J$3</formula>
    </cfRule>
    <cfRule type="cellIs" dxfId="108" priority="10" operator="greaterThan">
      <formula>$J$3</formula>
    </cfRule>
  </conditionalFormatting>
  <conditionalFormatting sqref="N9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S5:S9 S13"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37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0.84641167671746098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39.679748713627177</v>
      </c>
      <c r="K4" s="4">
        <f>(J4/D18-1)</f>
        <v>-6.7813828054219538E-2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0.25978857999999999</v>
      </c>
      <c r="C6" s="40">
        <v>0</v>
      </c>
      <c r="D6" s="26">
        <f>(B6*C6)</f>
        <v>0</v>
      </c>
      <c r="E6" s="38">
        <f>(B6*J3)</f>
        <v>0.21988808758984824</v>
      </c>
      <c r="M6" t="s">
        <v>11</v>
      </c>
      <c r="N6" s="19">
        <f>($B$7+$R$9)/5</f>
        <v>6.6493392477777773</v>
      </c>
      <c r="O6" s="38">
        <f>($S$7*Params!K8)</f>
        <v>1.2874131947626481</v>
      </c>
      <c r="P6" s="38">
        <f>(O6*N6)</f>
        <v>8.5604470840422522</v>
      </c>
      <c r="R6" s="36">
        <f>(B6)</f>
        <v>0.25978857999999999</v>
      </c>
      <c r="S6" s="40">
        <v>0</v>
      </c>
      <c r="T6" s="26">
        <f>(D6)</f>
        <v>0</v>
      </c>
      <c r="U6" s="38">
        <f>(R6*J3)</f>
        <v>0.21988808758984824</v>
      </c>
    </row>
    <row r="7" spans="2:21">
      <c r="B7" s="19">
        <v>32.61579124</v>
      </c>
      <c r="C7" s="38">
        <f t="shared" ref="C7:C14" si="0">(D7/B7)</f>
        <v>0.99031784212511398</v>
      </c>
      <c r="D7" s="38">
        <v>32.299999999999997</v>
      </c>
      <c r="E7" t="s">
        <v>15</v>
      </c>
      <c r="N7" s="19">
        <f>($B$7+$R$9)/5</f>
        <v>6.6493392477777773</v>
      </c>
      <c r="O7" s="38">
        <f>($S$7*Params!K9)</f>
        <v>1.5845085474001825</v>
      </c>
      <c r="P7" s="38">
        <f>(O7*N7)</f>
        <v>10.535934872667388</v>
      </c>
      <c r="R7" s="19">
        <f>B7</f>
        <v>32.61579124</v>
      </c>
      <c r="S7" s="38">
        <f>(T7/R7)</f>
        <v>0.99031784212511398</v>
      </c>
      <c r="T7" s="38">
        <f>D7</f>
        <v>32.299999999999997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6.6493392477777773</v>
      </c>
      <c r="O8" s="38">
        <f>($S$7*Params!K10)</f>
        <v>2.1786992526752509</v>
      </c>
      <c r="P8" s="38">
        <f>(O8*N8)</f>
        <v>14.486910449917659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6.6493392477777773</v>
      </c>
      <c r="O9" s="38">
        <f>($C$7*Params!K11)</f>
        <v>3.9612713685004559</v>
      </c>
      <c r="P9" s="38">
        <f>(O9*N9)</f>
        <v>26.339837181668468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59.923129588295765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0.90798566015061166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46.879963740000001</v>
      </c>
      <c r="S17" s="38"/>
      <c r="T17" s="38">
        <f>(SUM(T5:T12))</f>
        <v>42.56633482430064</v>
      </c>
    </row>
    <row r="18" spans="2:20">
      <c r="B18" s="19">
        <f>(SUM(B5:B17))</f>
        <v>46.879963740000001</v>
      </c>
      <c r="D18" s="38">
        <f>(SUM(D5:D17))</f>
        <v>42.56633482430064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1" priority="23" operator="lessThan">
      <formula>$J$3</formula>
    </cfRule>
    <cfRule type="cellIs" dxfId="100" priority="24" operator="greaterThan">
      <formula>$J$3</formula>
    </cfRule>
  </conditionalFormatting>
  <conditionalFormatting sqref="S8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D5" sqref="D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0.49096686668378858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26.580268539610252</v>
      </c>
      <c r="K4" s="4">
        <f>(J4/D10-1)</f>
        <v>-0.32861155494796035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1.8896349800000001</v>
      </c>
      <c r="C6" s="40">
        <v>0</v>
      </c>
      <c r="D6" s="26">
        <f>(B6*C6)</f>
        <v>0</v>
      </c>
      <c r="E6" s="38">
        <f>(B6*J3)</f>
        <v>0.92774816530668358</v>
      </c>
      <c r="M6" t="s">
        <v>11</v>
      </c>
      <c r="N6" s="29">
        <f>($B$10/5)</f>
        <v>10.827723963999999</v>
      </c>
      <c r="O6" s="38">
        <f>($C$5*Params!K8)</f>
        <v>0.98505771545924514</v>
      </c>
      <c r="P6" s="38">
        <f>(O6*N6)</f>
        <v>10.66593303160116</v>
      </c>
    </row>
    <row r="7" spans="2:16">
      <c r="B7" s="36">
        <v>1.28484E-3</v>
      </c>
      <c r="C7" s="40">
        <v>0</v>
      </c>
      <c r="D7" s="26">
        <f>(B7*C7)</f>
        <v>0</v>
      </c>
      <c r="E7" s="38">
        <f>(B7*J4)</f>
        <v>3.4151392230432835E-2</v>
      </c>
      <c r="N7" s="29">
        <f>($B$10/5)</f>
        <v>10.827723963999999</v>
      </c>
      <c r="O7" s="38">
        <f>($C$5*Params!K9)</f>
        <v>1.2123787267190709</v>
      </c>
      <c r="P7" s="38">
        <f>(O7*N7)</f>
        <v>13.12730219273989</v>
      </c>
    </row>
    <row r="8" spans="2:16">
      <c r="N8" s="29">
        <f>($B$10/5)</f>
        <v>10.827723963999999</v>
      </c>
      <c r="O8" s="38">
        <f>($C$5*Params!K10)</f>
        <v>1.6670207492387226</v>
      </c>
      <c r="P8" s="38">
        <f>(O8*N8)</f>
        <v>18.050040515017351</v>
      </c>
    </row>
    <row r="9" spans="2:16">
      <c r="F9" t="s">
        <v>9</v>
      </c>
      <c r="G9" s="38">
        <f>(D10/B10)</f>
        <v>0.73127095097046768</v>
      </c>
      <c r="N9" s="29">
        <f>($B$10/5)</f>
        <v>10.827723963999999</v>
      </c>
      <c r="O9" s="38">
        <f>($C$5*Params!K11)</f>
        <v>3.0309468167976772</v>
      </c>
      <c r="P9" s="38">
        <f>(O9*N9)</f>
        <v>32.818255481849725</v>
      </c>
    </row>
    <row r="10" spans="2:16">
      <c r="B10" s="29">
        <f>(SUM(B5:B9))</f>
        <v>54.138619819999995</v>
      </c>
      <c r="D10" s="38">
        <f>(SUM(D5:D9))</f>
        <v>39.590000000000003</v>
      </c>
    </row>
    <row r="11" spans="2:16">
      <c r="P11" s="38">
        <f>(SUM(P6:P9))</f>
        <v>74.661531221208122</v>
      </c>
    </row>
  </sheetData>
  <conditionalFormatting sqref="C5">
    <cfRule type="cellIs" dxfId="97" priority="5" operator="lessThan">
      <formula>$J$3</formula>
    </cfRule>
    <cfRule type="cellIs" dxfId="96" priority="6" operator="greaterThan">
      <formula>$J$3</formula>
    </cfRule>
  </conditionalFormatting>
  <conditionalFormatting sqref="O6:O9">
    <cfRule type="cellIs" dxfId="95" priority="3" operator="lessThan">
      <formula>$J$3</formula>
    </cfRule>
    <cfRule type="cellIs" dxfId="94" priority="4" operator="greaterThan">
      <formula>$J$3</formula>
    </cfRule>
  </conditionalFormatting>
  <conditionalFormatting sqref="G9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1.52149499634522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29.6827420300807</v>
      </c>
      <c r="K4" s="4">
        <f>(J4/D19-1)</f>
        <v>-0.15189922111003273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17.40659071</v>
      </c>
      <c r="C6" s="38">
        <f>(D6/B6)</f>
        <v>1.8556189743373357</v>
      </c>
      <c r="D6" s="38">
        <v>32.299999999999997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17.40659071</v>
      </c>
      <c r="S6" s="38">
        <f>(T6/R6)</f>
        <v>1.8556189743373357</v>
      </c>
      <c r="T6" s="38">
        <f>D6</f>
        <v>32.299999999999997</v>
      </c>
      <c r="U6" s="38" t="str">
        <f>(E6)</f>
        <v>DCA2</v>
      </c>
    </row>
    <row r="7" spans="2:22">
      <c r="B7" s="2">
        <v>5.5219850000000001E-2</v>
      </c>
      <c r="C7" s="40">
        <v>0</v>
      </c>
      <c r="D7" s="26">
        <v>0</v>
      </c>
      <c r="E7" s="39">
        <f>B7*J3</f>
        <v>8.4016725473933601E-2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5.5219850000000001E-2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0.34146312373227511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0.35067133872236633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3.5084811959999995</v>
      </c>
      <c r="O14" s="38">
        <f>($C$6*Params!K8)</f>
        <v>2.4123046666385366</v>
      </c>
      <c r="P14" s="38">
        <f>(O14*N14)</f>
        <v>8.463525561924353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3.5084811959999995</v>
      </c>
      <c r="O15" s="38">
        <f>($C$6*Params!K9)</f>
        <v>2.9689903589397373</v>
      </c>
      <c r="P15" s="38">
        <f>(O15*N15)</f>
        <v>10.416646845445356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3.5084811959999995</v>
      </c>
      <c r="O16" s="38">
        <f>($C$6*Params!K10)</f>
        <v>4.0823617435421387</v>
      </c>
      <c r="P16" s="38">
        <f>(O16*N16)</f>
        <v>14.322889412487365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3.5084811959999995</v>
      </c>
      <c r="O17" s="38">
        <f>($C$6*Params!K11)</f>
        <v>7.4224758973493428</v>
      </c>
      <c r="P17" s="38">
        <f>(O17*N17)</f>
        <v>26.041617113613391</v>
      </c>
      <c r="S17" s="38"/>
      <c r="T17" s="38"/>
    </row>
    <row r="18" spans="2:20">
      <c r="C18" s="38"/>
      <c r="D18" s="38"/>
      <c r="F18" t="s">
        <v>9</v>
      </c>
      <c r="G18" s="38">
        <f>(D19/B19)</f>
        <v>1.7940025928718302</v>
      </c>
      <c r="O18" s="38"/>
      <c r="P18" s="38"/>
      <c r="S18" s="38"/>
      <c r="T18" s="38"/>
    </row>
    <row r="19" spans="2:20">
      <c r="B19" s="1">
        <f>(SUM(B5:B18))</f>
        <v>19.508931742385979</v>
      </c>
      <c r="C19" s="38"/>
      <c r="D19" s="38">
        <f>(SUM(D5:D18))</f>
        <v>34.999074129999997</v>
      </c>
      <c r="O19" s="38"/>
      <c r="P19" s="38">
        <f>(SUM(P14:P17))</f>
        <v>59.244678933470468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19.508931742385982</v>
      </c>
      <c r="S22" s="38"/>
      <c r="T22" s="38">
        <f>(SUM(T5:T21))</f>
        <v>34.999074129999997</v>
      </c>
    </row>
  </sheetData>
  <conditionalFormatting sqref="C5:C6 C12:C14 C16:C17 O6:O9 O14:O17 S5:S6">
    <cfRule type="cellIs" dxfId="91" priority="17" operator="lessThan">
      <formula>$J$3</formula>
    </cfRule>
    <cfRule type="cellIs" dxfId="90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7.9003838501153628E-6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3.4740726061999698</v>
      </c>
      <c r="K4" s="4">
        <f>(J4/D13-1)</f>
        <v>-0.30932950174950902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202.98</v>
      </c>
      <c r="C6" s="40">
        <v>0</v>
      </c>
      <c r="D6" s="26">
        <f>(B6*C6)</f>
        <v>0</v>
      </c>
      <c r="E6" s="38">
        <f>(B6*J3)</f>
        <v>1.6036199138964161E-3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1.1438716247657168E-5</v>
      </c>
    </row>
    <row r="13" spans="2:16">
      <c r="B13">
        <f>(SUM(B5:B12))</f>
        <v>439734.66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J3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O6:O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9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28.04</v>
      </c>
      <c r="M3" t="s">
        <v>4</v>
      </c>
      <c r="N3" s="24">
        <f>(INDEX(N5:N26,MATCH(MAX(O6:O8,O23,O14),O5:O26,0))/0.9)</f>
        <v>0.11111111111111112</v>
      </c>
      <c r="O3" s="39">
        <f>(MAX(O14,O23,O6:O8)*0.85)</f>
        <v>24.200281999999998</v>
      </c>
      <c r="P3" s="38">
        <f>(O3*N3)</f>
        <v>2.6889202222222224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(B35*J3)</f>
        <v>211.02229388444002</v>
      </c>
      <c r="K4" s="4">
        <f>(J4/D35-1)</f>
        <v>8.3288712124860442E-2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v>0.1</v>
      </c>
      <c r="O8" s="38">
        <f>-C33</f>
        <v>28.47092</v>
      </c>
      <c r="P8" s="38">
        <f>D33</f>
        <v>2.847092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0.10329571600000001</v>
      </c>
      <c r="O9" s="38">
        <f>($C$16*Params!K11)</f>
        <v>51.373004709192095</v>
      </c>
      <c r="P9" s="38">
        <f>(O9*N9)</f>
        <v>5.3066113045073697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12.001970370453757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5.8883999999999992E-2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5.2848837800000004</v>
      </c>
      <c r="S13" s="38">
        <f>(T13/R13)</f>
        <v>19.231761989664793</v>
      </c>
      <c r="T13" s="38">
        <f>(D17+11.97*B21)</f>
        <v>101.63762699999999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0.17275480452000136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3.0690180000000001E-2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1.4798895120000183E-2</v>
      </c>
      <c r="N15" s="24">
        <f>(2*($R$13+N14+$R$21)/5-N14)</f>
        <v>1.9634425600000003</v>
      </c>
      <c r="O15" s="38">
        <f>($S$13*Params!K9)</f>
        <v>30.770819183463672</v>
      </c>
      <c r="P15" s="38">
        <f>(O15*N15)</f>
        <v>60.416735990877029</v>
      </c>
      <c r="R15" s="24">
        <f>B19+B22</f>
        <v>1.5932746</v>
      </c>
      <c r="S15" s="38">
        <f>(T15/R15)</f>
        <v>19.707749059703829</v>
      </c>
      <c r="T15" s="38">
        <f>(D19+12.6*B22)</f>
        <v>31.399855999999996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1.1221712800000001</v>
      </c>
      <c r="O16" s="38">
        <f>($S$13*Params!K10)</f>
        <v>42.309876377262547</v>
      </c>
      <c r="P16" s="38">
        <f>(O16*N16)</f>
        <v>47.478928130914483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5.5657837800000003</v>
      </c>
      <c r="C17" s="38">
        <f>(D17/B17)</f>
        <v>18.865267525717645</v>
      </c>
      <c r="D17" s="38">
        <v>105</v>
      </c>
      <c r="E17" t="s">
        <v>10</v>
      </c>
      <c r="N17" s="24">
        <f>(($R$13+N14+$R$21)/5)</f>
        <v>1.1221712800000001</v>
      </c>
      <c r="O17" s="38">
        <f>($S$13*Params!K11)</f>
        <v>76.927047958659173</v>
      </c>
      <c r="P17" s="38">
        <f>(O17*N17)</f>
        <v>86.325323874389966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3.0690180000000001E-2</v>
      </c>
      <c r="C18" s="40">
        <v>0</v>
      </c>
      <c r="D18" s="26">
        <v>0</v>
      </c>
      <c r="E18" s="39">
        <f>B18*J3</f>
        <v>0.86055264720000002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1.6647145999999999</v>
      </c>
      <c r="C19" s="38">
        <f t="shared" ref="C19:C32" si="1">(D19/B19)</f>
        <v>19.402725247919371</v>
      </c>
      <c r="D19" s="38">
        <v>32.299999999999997</v>
      </c>
      <c r="E19" t="s">
        <v>15</v>
      </c>
      <c r="O19" s="38"/>
      <c r="P19" s="38">
        <f>(SUM(P14:P17))</f>
        <v>198.42318799618147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(B28+B25)</f>
        <v>1.1675579999999991E-2</v>
      </c>
      <c r="S20" s="38">
        <v>0</v>
      </c>
      <c r="T20" s="38">
        <f>(D28+D25)</f>
        <v>-0.12000000000000011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0.59699961200000007</v>
      </c>
      <c r="O24" s="38">
        <f>($S$15*Params!K9)</f>
        <v>31.532398495526127</v>
      </c>
      <c r="P24" s="38">
        <f>(O24*N24)</f>
        <v>18.824829667258484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0.33421980600000001</v>
      </c>
      <c r="O25" s="38">
        <f>($S$15*Params!K10)</f>
        <v>43.357047931348426</v>
      </c>
      <c r="P25" s="38">
        <f>(O25*N25)</f>
        <v>14.490784148347972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0.33421980600000001</v>
      </c>
      <c r="O26" s="38">
        <f>($S$15*Params!K11)</f>
        <v>78.830996238815317</v>
      </c>
      <c r="P26" s="38">
        <f>(O26*N26)</f>
        <v>26.346880269723584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60.825597605330039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-28.47092</v>
      </c>
      <c r="D33" s="38">
        <f>2.8715-0.024408</f>
        <v>2.847092</v>
      </c>
      <c r="E33" s="38"/>
      <c r="S33" s="38"/>
      <c r="T33" s="38"/>
    </row>
    <row r="34" spans="2:23">
      <c r="C34" s="38"/>
      <c r="D34" s="38"/>
      <c r="E34" s="38"/>
      <c r="S34" s="38"/>
      <c r="T34" s="38"/>
    </row>
    <row r="35" spans="2:23">
      <c r="B35" s="24">
        <f>(SUM(B5:B34))</f>
        <v>7.525759411000001</v>
      </c>
      <c r="C35" s="38"/>
      <c r="D35" s="38">
        <f>(SUM(D5:D34))</f>
        <v>194.79783322999998</v>
      </c>
      <c r="E35" s="38"/>
      <c r="F35" t="s">
        <v>9</v>
      </c>
      <c r="G35" s="38">
        <f>(D35/B35)</f>
        <v>25.88414306007104</v>
      </c>
      <c r="S35" s="38"/>
      <c r="T35" s="38"/>
    </row>
    <row r="36" spans="2:23">
      <c r="K36">
        <v>21</v>
      </c>
      <c r="M36" s="24"/>
      <c r="S36" s="38"/>
      <c r="T36" s="38"/>
    </row>
    <row r="37" spans="2:23">
      <c r="R37" s="24">
        <f>(SUM(R5:R36))</f>
        <v>7.6257594109999998</v>
      </c>
      <c r="S37" s="38"/>
      <c r="T37" s="38">
        <f>(SUM(T5:T36))</f>
        <v>191.94838167</v>
      </c>
      <c r="V37" t="s">
        <v>9</v>
      </c>
      <c r="W37" s="38">
        <f>(T37/R37)</f>
        <v>25.171051343833174</v>
      </c>
    </row>
    <row r="39" spans="2:23">
      <c r="N39" s="24"/>
    </row>
  </sheetData>
  <conditionalFormatting sqref="C5 C8:C10 S5">
    <cfRule type="cellIs" dxfId="83" priority="85" operator="lessThan">
      <formula>$J$3</formula>
    </cfRule>
    <cfRule type="cellIs" dxfId="82" priority="86" operator="greaterThan">
      <formula>$J$3</formula>
    </cfRule>
  </conditionalFormatting>
  <conditionalFormatting sqref="C16:C17">
    <cfRule type="cellIs" dxfId="81" priority="69" operator="lessThan">
      <formula>$J$3</formula>
    </cfRule>
    <cfRule type="cellIs" dxfId="80" priority="70" operator="greaterThan">
      <formula>$J$3</formula>
    </cfRule>
    <cfRule type="cellIs" dxfId="79" priority="71" operator="lessThan">
      <formula>$J$3</formula>
    </cfRule>
    <cfRule type="cellIs" dxfId="78" priority="72" operator="greaterThan">
      <formula>$J$3</formula>
    </cfRule>
    <cfRule type="cellIs" dxfId="77" priority="79" operator="lessThan">
      <formula>$J$3</formula>
    </cfRule>
    <cfRule type="cellIs" dxfId="76" priority="80" operator="greaterThan">
      <formula>$J$3</formula>
    </cfRule>
  </conditionalFormatting>
  <conditionalFormatting sqref="C19:C20 G35">
    <cfRule type="cellIs" dxfId="75" priority="63" operator="lessThan">
      <formula>$J$3</formula>
    </cfRule>
    <cfRule type="cellIs" dxfId="74" priority="64" operator="greaterThan">
      <formula>$J$3</formula>
    </cfRule>
    <cfRule type="cellIs" dxfId="73" priority="65" operator="lessThan">
      <formula>$J$3</formula>
    </cfRule>
    <cfRule type="cellIs" dxfId="72" priority="66" operator="greaterThan">
      <formula>$J$3</formula>
    </cfRule>
    <cfRule type="cellIs" dxfId="71" priority="67" operator="lessThan">
      <formula>$J$3</formula>
    </cfRule>
    <cfRule type="cellIs" dxfId="70" priority="68" operator="greaterThan">
      <formula>$J$3</formula>
    </cfRule>
    <cfRule type="cellIs" dxfId="69" priority="77" operator="lessThan">
      <formula>$J$3</formula>
    </cfRule>
    <cfRule type="cellIs" dxfId="68" priority="78" operator="greaterThan">
      <formula>$J$3</formula>
    </cfRule>
  </conditionalFormatting>
  <conditionalFormatting sqref="C27:C28 C30:C31">
    <cfRule type="cellIs" dxfId="67" priority="55" operator="lessThan">
      <formula>$J$3</formula>
    </cfRule>
    <cfRule type="cellIs" dxfId="66" priority="56" operator="greaterThan">
      <formula>$J$3</formula>
    </cfRule>
    <cfRule type="cellIs" dxfId="65" priority="57" operator="lessThan">
      <formula>$J$3</formula>
    </cfRule>
    <cfRule type="cellIs" dxfId="64" priority="58" operator="greaterThan">
      <formula>$J$3</formula>
    </cfRule>
    <cfRule type="cellIs" dxfId="63" priority="59" operator="lessThan">
      <formula>$J$3</formula>
    </cfRule>
    <cfRule type="cellIs" dxfId="62" priority="60" operator="greaterThan">
      <formula>$J$3</formula>
    </cfRule>
    <cfRule type="cellIs" dxfId="61" priority="61" operator="lessThan">
      <formula>$J$3</formula>
    </cfRule>
    <cfRule type="cellIs" dxfId="60" priority="62" operator="greaterThan">
      <formula>$J$3</formula>
    </cfRule>
    <cfRule type="cellIs" dxfId="59" priority="75" operator="lessThan">
      <formula>$J$3</formula>
    </cfRule>
    <cfRule type="cellIs" dxfId="58" priority="76" operator="greaterThan">
      <formula>$J$3</formula>
    </cfRule>
  </conditionalFormatting>
  <conditionalFormatting sqref="O9 O15:O17 O24:O26 S12:S13 S15:S16">
    <cfRule type="cellIs" dxfId="57" priority="49" operator="lessThan">
      <formula>$J$3</formula>
    </cfRule>
    <cfRule type="cellIs" dxfId="56" priority="50" operator="greaterThan">
      <formula>$J$3</formula>
    </cfRule>
    <cfRule type="cellIs" dxfId="55" priority="51" operator="lessThan">
      <formula>$J$3</formula>
    </cfRule>
    <cfRule type="cellIs" dxfId="54" priority="52" operator="greaterThan">
      <formula>$J$3</formula>
    </cfRule>
  </conditionalFormatting>
  <conditionalFormatting sqref="O3">
    <cfRule type="cellIs" dxfId="53" priority="31" operator="greaterThan">
      <formula>$J$3</formula>
    </cfRule>
    <cfRule type="cellIs" dxfId="52" priority="32" operator="lessThan">
      <formula>$J$3</formula>
    </cfRule>
  </conditionalFormatting>
  <conditionalFormatting sqref="W37">
    <cfRule type="cellIs" dxfId="51" priority="1" operator="lessThan">
      <formula>$J$3</formula>
    </cfRule>
    <cfRule type="cellIs" dxfId="50" priority="2" operator="greaterThan">
      <formula>$J$3</formula>
    </cfRule>
    <cfRule type="cellIs" dxfId="49" priority="3" operator="lessThan">
      <formula>$J$3</formula>
    </cfRule>
    <cfRule type="cellIs" dxfId="48" priority="4" operator="greaterThan">
      <formula>$J$3</formula>
    </cfRule>
    <cfRule type="cellIs" dxfId="47" priority="5" operator="lessThan">
      <formula>$J$3</formula>
    </cfRule>
    <cfRule type="cellIs" dxfId="46" priority="6" operator="greaterThan">
      <formula>$J$3</formula>
    </cfRule>
    <cfRule type="cellIs" dxfId="45" priority="7" operator="lessThan">
      <formula>$J$3</formula>
    </cfRule>
    <cfRule type="cellIs" dxfId="44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8.1889319374095701E-2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0.75792300380139499</v>
      </c>
      <c r="K4" s="4">
        <f>(J4/D13-1)</f>
        <v>0.51584600760278998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0.15419777000000001</v>
      </c>
      <c r="C6" s="40">
        <v>0</v>
      </c>
      <c r="D6" s="26">
        <f>(B6*C6)</f>
        <v>0</v>
      </c>
      <c r="E6" s="38">
        <f>(B6*J3)</f>
        <v>1.2627150434303354E-2</v>
      </c>
      <c r="G6" s="38"/>
      <c r="M6" t="s">
        <v>11</v>
      </c>
      <c r="N6" s="19">
        <f>($B$13/5)</f>
        <v>1.851091228</v>
      </c>
      <c r="O6" s="35">
        <f>($C$5*Params!K8)</f>
        <v>7.1418695478700056E-2</v>
      </c>
      <c r="P6" s="38">
        <f>(O6*N6)</f>
        <v>0.13220252071582494</v>
      </c>
      <c r="Q6" s="38">
        <f>N6*$J$3</f>
        <v>0.15158460076027899</v>
      </c>
    </row>
    <row r="7" spans="2:17">
      <c r="C7" s="38"/>
      <c r="D7" s="38"/>
      <c r="E7" s="38"/>
      <c r="G7" s="38"/>
      <c r="N7" s="19">
        <f>($B$13/5)</f>
        <v>1.851091228</v>
      </c>
      <c r="O7" s="35">
        <f>($C$5*Params!K9)</f>
        <v>8.7899932896861599E-2</v>
      </c>
      <c r="P7" s="38">
        <f>(O7*N7)</f>
        <v>0.16271079472716915</v>
      </c>
      <c r="Q7" s="38"/>
    </row>
    <row r="8" spans="2:17">
      <c r="C8" s="38"/>
      <c r="D8" s="38"/>
      <c r="E8" s="38"/>
      <c r="G8" s="38"/>
      <c r="N8" s="19">
        <f>($B$13/5)</f>
        <v>1.851091228</v>
      </c>
      <c r="O8" s="35">
        <f>($C$5*Params!K10)</f>
        <v>0.12086240773318471</v>
      </c>
      <c r="P8" s="38">
        <f>(O8*N8)</f>
        <v>0.22372734274985759</v>
      </c>
      <c r="Q8" s="38"/>
    </row>
    <row r="9" spans="2:17">
      <c r="C9" s="38"/>
      <c r="D9" s="38"/>
      <c r="E9" s="38"/>
      <c r="G9" s="38"/>
      <c r="N9" s="19">
        <f>($B$13/5)</f>
        <v>1.851091228</v>
      </c>
      <c r="O9" s="35">
        <f>($C$5*Params!K11)</f>
        <v>0.219749832242154</v>
      </c>
      <c r="P9" s="38">
        <f>(O9*N9)</f>
        <v>0.40677698681792285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0.9254176450107745</v>
      </c>
    </row>
    <row r="12" spans="2:17">
      <c r="C12" s="38"/>
      <c r="D12" s="38"/>
      <c r="E12" s="38"/>
      <c r="F12" t="s">
        <v>9</v>
      </c>
      <c r="G12" s="38">
        <f>(D13/B13)</f>
        <v>5.4022188905321747E-2</v>
      </c>
    </row>
    <row r="13" spans="2:17">
      <c r="B13">
        <f>(SUM(B5:B12))</f>
        <v>9.2554561399999997</v>
      </c>
      <c r="C13" s="38"/>
      <c r="D13" s="38">
        <f>(SUM(D5:D12))</f>
        <v>0.5</v>
      </c>
      <c r="E13" s="38"/>
      <c r="G13" s="38"/>
    </row>
  </sheetData>
  <conditionalFormatting sqref="C5">
    <cfRule type="cellIs" dxfId="43" priority="7" operator="lessThan">
      <formula>$J$3</formula>
    </cfRule>
    <cfRule type="cellIs" dxfId="42" priority="8" operator="greaterThan">
      <formula>$J$3</formula>
    </cfRule>
  </conditionalFormatting>
  <conditionalFormatting sqref="O6:O9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1" operator="lessThan">
      <formula>$J$3</formula>
    </cfRule>
    <cfRule type="cellIs" dxfId="38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1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5.87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9.5231260558000006</v>
      </c>
      <c r="K4" s="4">
        <f>(J4/D10-1)</f>
        <v>4.0778803912568273E-2</v>
      </c>
      <c r="O4" s="38"/>
      <c r="P4" s="38"/>
    </row>
    <row r="5" spans="2:16">
      <c r="B5" s="1">
        <v>1.6210441200000001</v>
      </c>
      <c r="C5" s="38">
        <f>(D5/B5)</f>
        <v>5.6445101568241087</v>
      </c>
      <c r="D5" s="38">
        <v>9.15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1.29422E-3</v>
      </c>
      <c r="C6" s="40">
        <v>0</v>
      </c>
      <c r="D6" s="40">
        <f>(B6*C6)</f>
        <v>0</v>
      </c>
      <c r="E6" s="38">
        <f>(B6*J3)</f>
        <v>7.5970714000000005E-3</v>
      </c>
      <c r="G6" s="38"/>
      <c r="H6" s="38"/>
      <c r="J6" s="38"/>
      <c r="M6" t="s">
        <v>11</v>
      </c>
      <c r="N6" s="1">
        <f>($B$5/5)</f>
        <v>0.32420882400000001</v>
      </c>
      <c r="O6" s="35">
        <f>($C$5*Params!K8)</f>
        <v>7.3378632038713416</v>
      </c>
      <c r="P6" s="38">
        <f>(O6*N6)</f>
        <v>2.379</v>
      </c>
    </row>
    <row r="7" spans="2:16">
      <c r="C7" s="38"/>
      <c r="D7" s="38"/>
      <c r="E7" s="38"/>
      <c r="G7" s="38"/>
      <c r="H7" s="38"/>
      <c r="J7" s="38"/>
      <c r="N7" s="1">
        <f>($B$5/5)</f>
        <v>0.32420882400000001</v>
      </c>
      <c r="O7" s="35">
        <f>($C$5*Params!K9)</f>
        <v>9.0312162509185736</v>
      </c>
      <c r="P7" s="38">
        <f>(O7*N7)</f>
        <v>2.9279999999999999</v>
      </c>
    </row>
    <row r="8" spans="2:16">
      <c r="C8" s="38"/>
      <c r="D8" s="38"/>
      <c r="E8" s="38"/>
      <c r="G8" s="38"/>
      <c r="H8" s="38"/>
      <c r="J8" s="38"/>
      <c r="N8" s="1">
        <f>($B$5/5)</f>
        <v>0.32420882400000001</v>
      </c>
      <c r="O8" s="35">
        <f>($C$5*Params!K10)</f>
        <v>12.417922345013039</v>
      </c>
      <c r="P8" s="38">
        <f>(O8*N8)</f>
        <v>4.0259999999999998</v>
      </c>
    </row>
    <row r="9" spans="2:16">
      <c r="C9" s="38"/>
      <c r="D9" s="38"/>
      <c r="E9" s="38"/>
      <c r="F9" t="s">
        <v>9</v>
      </c>
      <c r="G9" s="38">
        <f>(D10/B10)</f>
        <v>5.6400072502755503</v>
      </c>
      <c r="H9" s="38"/>
      <c r="J9" s="38"/>
      <c r="N9" s="1">
        <f>($B$5/5)</f>
        <v>0.32420882400000001</v>
      </c>
      <c r="O9" s="35">
        <f>($C$5*Params!K11)</f>
        <v>22.578040627296435</v>
      </c>
      <c r="P9" s="38">
        <f>(O9*N9)</f>
        <v>7.3199999999999994</v>
      </c>
    </row>
    <row r="10" spans="2:16">
      <c r="B10" s="1">
        <f>(SUM(B5:B9))</f>
        <v>1.62233834</v>
      </c>
      <c r="C10" s="38"/>
      <c r="D10" s="38">
        <f>(SUM(D5:D9))</f>
        <v>9.15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16.652999999999999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7" priority="5" operator="lessThan">
      <formula>$J$3</formula>
    </cfRule>
    <cfRule type="cellIs" dxfId="36" priority="6" operator="greaterThan">
      <formula>$J$3</formula>
    </cfRule>
  </conditionalFormatting>
  <conditionalFormatting sqref="O6:O9">
    <cfRule type="cellIs" dxfId="35" priority="3" operator="lessThan">
      <formula>$J$3</formula>
    </cfRule>
    <cfRule type="cellIs" dxfId="34" priority="4" operator="greaterThan">
      <formula>$J$3</formula>
    </cfRule>
  </conditionalFormatting>
  <conditionalFormatting sqref="G9"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0.79110570239321665</v>
      </c>
      <c r="M3" t="s">
        <v>4</v>
      </c>
      <c r="N3" s="19">
        <f>(INDEX(N5:N13,MATCH(MAX(O6:O8),O5:O13,0))/0.9)</f>
        <v>12.032396237777778</v>
      </c>
      <c r="O3" s="39">
        <f>(MAX(O6:O8)*0.85)</f>
        <v>0.66743653481043641</v>
      </c>
      <c r="P3" s="38">
        <f>(O3*N3)</f>
        <v>8.0308608504085317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17.139924533491413</v>
      </c>
      <c r="K4" s="4">
        <f>(J4/D13-1)</f>
        <v>-7.1738370535222948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54.14578307</v>
      </c>
      <c r="S5" s="38">
        <f>(T5/R5)</f>
        <v>0.3527513855567922</v>
      </c>
      <c r="T5" s="38">
        <f>(SUM(D5:D7))</f>
        <v>19.100000000000001</v>
      </c>
    </row>
    <row r="6" spans="2:20">
      <c r="B6" s="20">
        <v>0.57077160000000005</v>
      </c>
      <c r="C6" s="40">
        <v>0</v>
      </c>
      <c r="D6" s="40">
        <f>(B6*C6)</f>
        <v>0</v>
      </c>
      <c r="E6" s="38">
        <f>(B6*J3)</f>
        <v>0.45154066752410016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10.898313228000001</v>
      </c>
      <c r="O7" s="38">
        <f>($C$5*Params!K9)</f>
        <v>0.57106869288593487</v>
      </c>
      <c r="P7" s="38">
        <f>(O7*N7)</f>
        <v>6.2236854897754537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10.829156614</v>
      </c>
      <c r="O8" s="38">
        <f>($C$5*Params!K10)</f>
        <v>0.78521945271816052</v>
      </c>
      <c r="P8" s="38">
        <f>(O8*N8)</f>
        <v>8.5032644298443287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10.829156614</v>
      </c>
      <c r="O9" s="38">
        <f>($C$5*Params!K11)</f>
        <v>1.4276717322148371</v>
      </c>
      <c r="P9" s="38">
        <f>(O9*N9)</f>
        <v>15.460480781535141</v>
      </c>
    </row>
    <row r="11" spans="2:20">
      <c r="P11" s="38">
        <f>(SUM(P6:P9))</f>
        <v>35.24012806115492</v>
      </c>
    </row>
    <row r="12" spans="2:20">
      <c r="F12" t="s">
        <v>9</v>
      </c>
      <c r="G12" s="38">
        <f>(D13/B13)</f>
        <v>-0.1281384162774227</v>
      </c>
    </row>
    <row r="13" spans="2:20">
      <c r="B13">
        <f>(SUM(B5:B12))</f>
        <v>21.665783070000003</v>
      </c>
      <c r="D13" s="38">
        <f>(SUM(D5:D12))</f>
        <v>-2.7762191299999976</v>
      </c>
    </row>
    <row r="17" spans="14:20">
      <c r="R17">
        <f>(SUM(R5:R16))</f>
        <v>43.385783070000002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31" priority="11" operator="lessThan">
      <formula>$J$3</formula>
    </cfRule>
    <cfRule type="cellIs" dxfId="30" priority="12" operator="greaterThan">
      <formula>$J$3</formula>
    </cfRule>
  </conditionalFormatting>
  <conditionalFormatting sqref="O3">
    <cfRule type="cellIs" dxfId="29" priority="5" operator="greaterThan">
      <formula>$J$3</formula>
    </cfRule>
    <cfRule type="cellIs" dxfId="28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0.12180000000000001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4.9797913824960007</v>
      </c>
      <c r="K4" s="4">
        <f>(J4/D11-1)</f>
        <v>1.9425930309008854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7" priority="23" operator="lessThan">
      <formula>$J$3</formula>
    </cfRule>
    <cfRule type="cellIs" dxfId="26" priority="24" operator="greaterThan">
      <formula>$J$3</formula>
    </cfRule>
  </conditionalFormatting>
  <conditionalFormatting sqref="O8:O9">
    <cfRule type="cellIs" dxfId="25" priority="19" operator="lessThan">
      <formula>$J$3</formula>
    </cfRule>
    <cfRule type="cellIs" dxfId="24" priority="20" operator="greaterThan">
      <formula>$J$3</formula>
    </cfRule>
  </conditionalFormatting>
  <conditionalFormatting sqref="O3">
    <cfRule type="cellIs" dxfId="23" priority="17" operator="greaterThan">
      <formula>$J$3</formula>
    </cfRule>
    <cfRule type="cellIs" dxfId="22" priority="18" operator="lessThan">
      <formula>$J$3</formula>
    </cfRule>
  </conditionalFormatting>
  <conditionalFormatting sqref="C9">
    <cfRule type="cellIs" dxfId="21" priority="15" operator="lessThan">
      <formula>$J$3</formula>
    </cfRule>
    <cfRule type="cellIs" dxfId="20" priority="16" operator="greaterThan">
      <formula>$J$3</formula>
    </cfRule>
  </conditionalFormatting>
  <conditionalFormatting sqref="S5 S8">
    <cfRule type="cellIs" dxfId="19" priority="13" operator="lessThan">
      <formula>$J$3</formula>
    </cfRule>
    <cfRule type="cellIs" dxfId="18" priority="14" operator="greaterThan">
      <formula>$J$3</formula>
    </cfRule>
  </conditionalFormatting>
  <conditionalFormatting sqref="W35">
    <cfRule type="cellIs" dxfId="17" priority="1" operator="lessThan">
      <formula>$J$3</formula>
    </cfRule>
    <cfRule type="cellIs" dxfId="16" priority="2" operator="greaterThan">
      <formula>$J$3</formula>
    </cfRule>
    <cfRule type="cellIs" dxfId="15" priority="3" operator="lessThan">
      <formula>$J$3</formula>
    </cfRule>
    <cfRule type="cellIs" dxfId="14" priority="4" operator="greaterThan">
      <formula>$J$3</formula>
    </cfRule>
    <cfRule type="cellIs" dxfId="13" priority="5" operator="lessThan">
      <formula>$J$3</formula>
    </cfRule>
    <cfRule type="cellIs" dxfId="12" priority="6" operator="greaterThan">
      <formula>$J$3</formula>
    </cfRule>
    <cfRule type="cellIs" dxfId="11" priority="7" operator="lessThan">
      <formula>$J$3</formula>
    </cfRule>
    <cfRule type="cellIs" dxfId="10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0.97899742435466763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2.8629007689914174</v>
      </c>
      <c r="K4" s="4">
        <f>(J4/D10-1)</f>
        <v>-4.5699743669527559E-2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9" priority="5" operator="lessThan">
      <formula>$J$3</formula>
    </cfRule>
    <cfRule type="cellIs" dxfId="8" priority="6" operator="greaterThan">
      <formula>$J$3</formula>
    </cfRule>
  </conditionalFormatting>
  <conditionalFormatting sqref="G9">
    <cfRule type="cellIs" dxfId="7" priority="3" operator="lessThan">
      <formula>$J$3</formula>
    </cfRule>
    <cfRule type="cellIs" dxfId="6" priority="4" operator="greaterThan">
      <formula>$J$3</formula>
    </cfRule>
  </conditionalFormatting>
  <conditionalFormatting sqref="O6:O9">
    <cfRule type="cellIs" dxfId="5" priority="1" operator="lessThan">
      <formula>$J$3</formula>
    </cfRule>
    <cfRule type="cellIs" dxfId="4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3.044074373193113E-3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1.8246181792919518</v>
      </c>
      <c r="K4" s="4">
        <f>(J4/D10-1)</f>
        <v>-0.3917939402360161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3" priority="5" operator="lessThan">
      <formula>$J$3</formula>
    </cfRule>
    <cfRule type="cellIs" dxfId="2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C8" sqref="C8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0.13170000000000001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0.80123646000000004</v>
      </c>
      <c r="K4" s="4">
        <f>(J4/D9-1)</f>
        <v>-0.97224436959771909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1" priority="9" operator="lessThan">
      <formula>$J$3</formula>
    </cfRule>
    <cfRule type="cellIs" dxfId="0" priority="10" operator="greaterThan">
      <formula>$J$3</formula>
    </cfRule>
  </conditionalFormatting>
  <conditionalFormatting sqref="O11:O14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O20:O2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29:O32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N6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574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1.5767469541687379E-3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5.5939884750718534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-263.3600115249281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-183.97001152492808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574</v>
      </c>
      <c r="E34">
        <f t="shared" ref="E34:E40" si="1">C34*D34</f>
        <v>3589.7959999999998</v>
      </c>
      <c r="F34" s="29">
        <f t="shared" ref="F34:F40" si="2">E34*$N$5</f>
        <v>3051.3265999999999</v>
      </c>
      <c r="G34" s="38">
        <v>3.5</v>
      </c>
      <c r="H34" s="30">
        <f>G50</f>
        <v>1.5615590400000001</v>
      </c>
      <c r="I34" s="39">
        <f t="shared" ref="I34:I41" si="3">((F34-H34*D34)*$J$3-G34)</f>
        <v>-0.10212338335880355</v>
      </c>
      <c r="J34">
        <v>1</v>
      </c>
      <c r="K34" s="44">
        <f t="shared" ref="K34:K40" si="4">I34*J34</f>
        <v>-0.10212338335880355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574</v>
      </c>
      <c r="E35">
        <f t="shared" si="1"/>
        <v>554.48400000000004</v>
      </c>
      <c r="F35" s="29">
        <f t="shared" si="2"/>
        <v>471.31139999999999</v>
      </c>
      <c r="G35" s="38">
        <v>3.5</v>
      </c>
      <c r="H35" s="30">
        <f>G51</f>
        <v>0.21337130135885166</v>
      </c>
      <c r="I35" s="39">
        <f t="shared" si="3"/>
        <v>-2.9499734690121104</v>
      </c>
      <c r="J35">
        <v>1</v>
      </c>
      <c r="K35" s="44">
        <f t="shared" si="4"/>
        <v>-2.9499734690121104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574</v>
      </c>
      <c r="E36">
        <f t="shared" si="1"/>
        <v>488.47399999999999</v>
      </c>
      <c r="F36" s="29">
        <f t="shared" si="2"/>
        <v>415.2029</v>
      </c>
      <c r="G36" s="38">
        <v>3.5</v>
      </c>
      <c r="H36" s="30">
        <f>G52</f>
        <v>0.18479602162162162</v>
      </c>
      <c r="I36" s="39">
        <f t="shared" si="3"/>
        <v>-3.0125802399335142</v>
      </c>
      <c r="J36">
        <v>1</v>
      </c>
      <c r="K36" s="44">
        <f t="shared" si="4"/>
        <v>-3.0125802399335142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540</v>
      </c>
      <c r="E37">
        <f t="shared" si="1"/>
        <v>459.53999999999996</v>
      </c>
      <c r="F37" s="29">
        <f t="shared" si="2"/>
        <v>390.60899999999998</v>
      </c>
      <c r="G37" s="38">
        <v>0</v>
      </c>
      <c r="H37" s="30">
        <f>G52</f>
        <v>0.18479602162162162</v>
      </c>
      <c r="I37" s="39">
        <f t="shared" si="3"/>
        <v>0.4585482063343248</v>
      </c>
      <c r="J37">
        <v>3</v>
      </c>
      <c r="K37" s="44">
        <f t="shared" si="4"/>
        <v>1.3756446190029745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482</v>
      </c>
      <c r="E38">
        <f t="shared" si="1"/>
        <v>410.18200000000002</v>
      </c>
      <c r="F38" s="29">
        <f t="shared" si="2"/>
        <v>348.65469999999999</v>
      </c>
      <c r="G38" s="38">
        <v>0</v>
      </c>
      <c r="H38" s="30">
        <f>H37</f>
        <v>0.18479602162162162</v>
      </c>
      <c r="I38" s="39">
        <f t="shared" si="3"/>
        <v>0.40929673232063801</v>
      </c>
      <c r="J38">
        <v>1</v>
      </c>
      <c r="K38" s="44">
        <f t="shared" si="4"/>
        <v>0.40929673232063801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434</v>
      </c>
      <c r="E39">
        <f t="shared" si="1"/>
        <v>369.334</v>
      </c>
      <c r="F39" s="29">
        <f t="shared" si="2"/>
        <v>313.93389999999999</v>
      </c>
      <c r="G39" s="38">
        <v>0</v>
      </c>
      <c r="H39" s="30">
        <f>H38</f>
        <v>0.18479602162162162</v>
      </c>
      <c r="I39" s="39">
        <f t="shared" si="3"/>
        <v>0.36853689175758697</v>
      </c>
      <c r="J39">
        <v>1</v>
      </c>
      <c r="K39" s="44">
        <f t="shared" si="4"/>
        <v>0.36853689175758697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6.7076406218035303E-2</v>
      </c>
      <c r="J40" s="16">
        <v>1</v>
      </c>
      <c r="K40" s="46">
        <f t="shared" si="4"/>
        <v>6.7076406218035303E-2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300</v>
      </c>
      <c r="E41">
        <f>(C41*D41)</f>
        <v>255.29999999999998</v>
      </c>
      <c r="F41" s="29">
        <f>(E41*$N$5)</f>
        <v>217.00499999999997</v>
      </c>
      <c r="G41" s="38">
        <v>0</v>
      </c>
      <c r="H41" s="29">
        <f>(H37)</f>
        <v>0.18479602162162162</v>
      </c>
      <c r="I41" s="39">
        <f t="shared" si="3"/>
        <v>0.25474900351906932</v>
      </c>
      <c r="J41">
        <v>1</v>
      </c>
      <c r="K41" s="44">
        <f>(I41*J41)</f>
        <v>0.25474900351906932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0.78763647507185475</v>
      </c>
      <c r="P46">
        <f>(O46/J3)</f>
        <v>499.53258066516912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5" priority="17" operator="lessThan">
      <formula>$C$5</formula>
    </cfRule>
    <cfRule type="cellIs" dxfId="224" priority="18" operator="greaterThan">
      <formula>$C$5</formula>
    </cfRule>
  </conditionalFormatting>
  <conditionalFormatting sqref="L35">
    <cfRule type="cellIs" dxfId="223" priority="15" operator="lessThan">
      <formula>$C$6</formula>
    </cfRule>
    <cfRule type="cellIs" dxfId="222" priority="16" operator="greaterThan">
      <formula>$C$6</formula>
    </cfRule>
  </conditionalFormatting>
  <conditionalFormatting sqref="L39">
    <cfRule type="cellIs" dxfId="221" priority="13" operator="lessThan">
      <formula>$C$20</formula>
    </cfRule>
    <cfRule type="cellIs" dxfId="220" priority="14" operator="greaterThan">
      <formula>$C$20</formula>
    </cfRule>
  </conditionalFormatting>
  <conditionalFormatting sqref="L38">
    <cfRule type="cellIs" dxfId="219" priority="11" operator="lessThan">
      <formula>$C$19</formula>
    </cfRule>
    <cfRule type="cellIs" dxfId="218" priority="12" operator="greaterThan">
      <formula>$C$19</formula>
    </cfRule>
  </conditionalFormatting>
  <conditionalFormatting sqref="L37">
    <cfRule type="cellIs" dxfId="217" priority="9" operator="lessThan">
      <formula>$C$17</formula>
    </cfRule>
    <cfRule type="cellIs" dxfId="216" priority="10" operator="greaterThan">
      <formula>$C$17</formula>
    </cfRule>
  </conditionalFormatting>
  <conditionalFormatting sqref="L36">
    <cfRule type="cellIs" dxfId="215" priority="7" operator="lessThan">
      <formula>$C$7</formula>
    </cfRule>
    <cfRule type="cellIs" dxfId="214" priority="8" operator="greaterThan">
      <formula>$C$7</formula>
    </cfRule>
  </conditionalFormatting>
  <conditionalFormatting sqref="L41">
    <cfRule type="cellIs" dxfId="213" priority="5" operator="lessThan">
      <formula>$C$20</formula>
    </cfRule>
    <cfRule type="cellIs" dxfId="212" priority="6" operator="greaterThan">
      <formula>$C$20</formula>
    </cfRule>
  </conditionalFormatting>
  <conditionalFormatting sqref="L42">
    <cfRule type="cellIs" dxfId="211" priority="3" operator="lessThan">
      <formula>$C$27</formula>
    </cfRule>
    <cfRule type="cellIs" dxfId="210" priority="4" operator="greaterThan">
      <formula>$C$27</formula>
    </cfRule>
  </conditionalFormatting>
  <conditionalFormatting sqref="L43:L45">
    <cfRule type="cellIs" dxfId="209" priority="1" operator="lessThan">
      <formula>$C$7</formula>
    </cfRule>
    <cfRule type="cellIs" dxfId="20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0.34968050345336088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33.542236603728462</v>
      </c>
      <c r="K4" s="4">
        <f>(J4/D13-1)</f>
        <v>2.2939895527834153E-2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0.45516055999999999</v>
      </c>
      <c r="C6" s="40">
        <v>0</v>
      </c>
      <c r="D6" s="40">
        <f>(B6*C6)</f>
        <v>0</v>
      </c>
      <c r="E6" s="38">
        <f>(B6*J3)</f>
        <v>0.15916077377291368</v>
      </c>
      <c r="M6" t="s">
        <v>11</v>
      </c>
      <c r="N6" s="1">
        <f>($B$13/5)</f>
        <v>19.184504867999998</v>
      </c>
      <c r="O6" s="38">
        <f>($S$7*Params!K8)</f>
        <v>0.45234208965544787</v>
      </c>
      <c r="P6" s="38">
        <f>(O6*N6)</f>
        <v>8.6779590209962318</v>
      </c>
      <c r="R6" s="2">
        <f>(B6)</f>
        <v>0.45516055999999999</v>
      </c>
      <c r="S6" s="40">
        <v>0</v>
      </c>
      <c r="T6" s="40">
        <f>(D6)</f>
        <v>0</v>
      </c>
      <c r="U6" s="38">
        <f>(R6*J3)</f>
        <v>0.15916077377291368</v>
      </c>
    </row>
    <row r="7" spans="2:21">
      <c r="B7" s="1">
        <v>92.827974580000003</v>
      </c>
      <c r="C7" s="38">
        <f>(D7/B7)</f>
        <v>0.34795545358111374</v>
      </c>
      <c r="D7" s="38">
        <v>32.299999999999997</v>
      </c>
      <c r="E7" t="s">
        <v>15</v>
      </c>
      <c r="N7" s="1">
        <f>($B$13/5)</f>
        <v>19.184504867999998</v>
      </c>
      <c r="O7" s="38">
        <f>($S$7*Params!K9)</f>
        <v>0.55672872572978205</v>
      </c>
      <c r="P7" s="38">
        <f>(O7*N7)</f>
        <v>10.680564948918439</v>
      </c>
      <c r="R7" s="29">
        <f>B7</f>
        <v>92.827974580000003</v>
      </c>
      <c r="S7" s="38">
        <f>(T7/R7)</f>
        <v>0.34795545358111374</v>
      </c>
      <c r="T7" s="38">
        <f>D7</f>
        <v>32.299999999999997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19.184504867999998</v>
      </c>
      <c r="O8" s="38">
        <f>($C$7*Params!K10)</f>
        <v>0.7655019978784503</v>
      </c>
      <c r="P8" s="38">
        <f>(O8*N8)</f>
        <v>14.685776804762854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19.184504867999998</v>
      </c>
      <c r="O9" s="38">
        <f>($C$7*Params!K11)</f>
        <v>1.391821814324455</v>
      </c>
      <c r="P9" s="38">
        <f>(O9*N9)</f>
        <v>26.701412372296094</v>
      </c>
    </row>
    <row r="10" spans="2:21">
      <c r="N10" s="1"/>
      <c r="P10" s="38"/>
    </row>
    <row r="11" spans="2:21">
      <c r="P11" s="38">
        <f>(SUM(P6:P9))</f>
        <v>60.745713146973614</v>
      </c>
    </row>
    <row r="12" spans="2:21">
      <c r="F12" t="s">
        <v>9</v>
      </c>
      <c r="G12" s="35">
        <f>(D13/B13)</f>
        <v>0.34183875805618735</v>
      </c>
    </row>
    <row r="13" spans="2:21">
      <c r="B13" s="1">
        <f>(SUM(B5:B12))</f>
        <v>95.922524339999995</v>
      </c>
      <c r="D13" s="38">
        <f>(SUM(D5:D12))</f>
        <v>32.79003659</v>
      </c>
      <c r="R13" s="1">
        <f>(SUM(R5:R12))</f>
        <v>95.922524339999995</v>
      </c>
      <c r="T13" s="38">
        <f>(SUM(T5:T12))</f>
        <v>32.79003659</v>
      </c>
    </row>
  </sheetData>
  <conditionalFormatting sqref="C5 C7 G12 S5 S7">
    <cfRule type="cellIs" dxfId="207" priority="15" operator="lessThan">
      <formula>$J$3</formula>
    </cfRule>
    <cfRule type="cellIs" dxfId="206" priority="16" operator="greaterThan">
      <formula>$J$3</formula>
    </cfRule>
  </conditionalFormatting>
  <conditionalFormatting sqref="O6:O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6"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0.11839897212031859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7.4717294949791837</v>
      </c>
      <c r="K4" s="4">
        <f>(J4/D14-1)</f>
        <v>-0.23958549650400374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4.3045336318274521E-2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4.3045336318274521E-2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1" priority="13" operator="lessThan">
      <formula>$J$3</formula>
    </cfRule>
    <cfRule type="cellIs" dxfId="200" priority="14" operator="greaterThan">
      <formula>$J$3</formula>
    </cfRule>
  </conditionalFormatting>
  <conditionalFormatting sqref="C9:C10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6:O9">
    <cfRule type="cellIs" dxfId="197" priority="9" operator="lessThan">
      <formula>$J$3</formula>
    </cfRule>
    <cfRule type="cellIs" dxfId="196" priority="10" operator="greaterThan">
      <formula>$J$3</formula>
    </cfRule>
  </conditionalFormatting>
  <conditionalFormatting sqref="S5 S7:S8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O6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2023-07-14T10:52:33Z</dcterms:modified>
</cp:coreProperties>
</file>