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elavi\Desktop\"/>
    </mc:Choice>
  </mc:AlternateContent>
  <xr:revisionPtr revIDLastSave="0" documentId="8_{AB98286A-FD5F-4448-8E54-121ADEAC146A}" xr6:coauthVersionLast="45" xr6:coauthVersionMax="45" xr10:uidLastSave="{00000000-0000-0000-0000-000000000000}"/>
  <bookViews>
    <workbookView xWindow="-120" yWindow="-120" windowWidth="20730" windowHeight="11760" firstSheet="1" activeTab="6" xr2:uid="{00000000-000D-0000-FFFF-FFFF00000000}"/>
  </bookViews>
  <sheets>
    <sheet name="SBC" sheetId="1" r:id="rId1"/>
    <sheet name="BASE G" sheetId="13" r:id="rId2"/>
    <sheet name="ISR Q" sheetId="15" r:id="rId3"/>
    <sheet name="NOMINA" sheetId="12" r:id="rId4"/>
    <sheet name="CUOTAS" sheetId="16" r:id="rId5"/>
    <sheet name="INFONAVIT" sheetId="3" r:id="rId6"/>
    <sheet name="FINIQUITO" sheetId="14" r:id="rId7"/>
    <sheet name="ISR MN" sheetId="4" r:id="rId8"/>
    <sheet name="Completo" sheetId="9" r:id="rId9"/>
  </sheets>
  <externalReferences>
    <externalReference r:id="rId10"/>
  </externalReferences>
  <definedNames>
    <definedName name="_xlnm.Print_Area" localSheetId="8">Completo!$B$1:$X$37</definedName>
    <definedName name="ISR">'ISR MN'!$A$4:$D$13</definedName>
    <definedName name="ISRM">'ISR MN'!$A$2:$D$12</definedName>
    <definedName name="ISRQ">'ISR Q'!$A$2:$D$12</definedName>
    <definedName name="SUBM">'ISR MN'!$A$16:$C$26</definedName>
    <definedName name="SUBQ">'ISR Q'!$A$16:$C$26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4" l="1"/>
  <c r="I13" i="14"/>
  <c r="H13" i="14"/>
  <c r="J12" i="14"/>
  <c r="I12" i="14"/>
  <c r="H12" i="14"/>
  <c r="D15" i="14"/>
  <c r="D14" i="14"/>
  <c r="I6" i="14" l="1"/>
  <c r="I5" i="14"/>
  <c r="O6" i="14"/>
  <c r="O5" i="14"/>
  <c r="O4" i="14"/>
  <c r="P4" i="14" s="1"/>
  <c r="I4" i="14"/>
  <c r="J4" i="14" l="1"/>
  <c r="P6" i="14" l="1"/>
  <c r="E6" i="14"/>
  <c r="J5" i="14"/>
  <c r="K5" i="14" s="1"/>
  <c r="P5" i="14"/>
  <c r="E5" i="14"/>
  <c r="E4" i="14"/>
  <c r="K4" i="14" l="1"/>
  <c r="Q4" i="14"/>
  <c r="S4" i="14"/>
  <c r="T4" i="14" s="1"/>
  <c r="S5" i="14"/>
  <c r="T5" i="14" s="1"/>
  <c r="Q5" i="14"/>
  <c r="S6" i="14"/>
  <c r="T6" i="14" s="1"/>
  <c r="Q6" i="14"/>
  <c r="J6" i="14"/>
  <c r="K6" i="14" s="1"/>
  <c r="H4" i="3"/>
  <c r="G4" i="3"/>
  <c r="F4" i="3" s="1"/>
  <c r="U4" i="14" l="1"/>
  <c r="U5" i="14"/>
  <c r="U6" i="14"/>
  <c r="Y8" i="16"/>
  <c r="Y9" i="16"/>
  <c r="Y10" i="16"/>
  <c r="X8" i="16"/>
  <c r="X9" i="16"/>
  <c r="X10" i="16"/>
  <c r="Y7" i="16"/>
  <c r="AA7" i="16" s="1"/>
  <c r="AE7" i="16" s="1"/>
  <c r="X7" i="16"/>
  <c r="W8" i="16"/>
  <c r="W9" i="16"/>
  <c r="W10" i="16"/>
  <c r="W7" i="16"/>
  <c r="V8" i="16"/>
  <c r="V9" i="16"/>
  <c r="V10" i="16"/>
  <c r="V7" i="16"/>
  <c r="U8" i="16"/>
  <c r="AC8" i="16" s="1"/>
  <c r="AG8" i="16" s="1"/>
  <c r="U9" i="16"/>
  <c r="AC9" i="16" s="1"/>
  <c r="AG9" i="16" s="1"/>
  <c r="U10" i="16"/>
  <c r="U7" i="16"/>
  <c r="AC7" i="16" s="1"/>
  <c r="AG7" i="16" s="1"/>
  <c r="T8" i="16"/>
  <c r="AB8" i="16" s="1"/>
  <c r="AF8" i="16" s="1"/>
  <c r="T9" i="16"/>
  <c r="AB9" i="16" s="1"/>
  <c r="AF9" i="16" s="1"/>
  <c r="T10" i="16"/>
  <c r="T7" i="16"/>
  <c r="AB7" i="16" s="1"/>
  <c r="AF7" i="16" s="1"/>
  <c r="S8" i="16"/>
  <c r="S9" i="16"/>
  <c r="S10" i="16"/>
  <c r="S7" i="16"/>
  <c r="R8" i="16"/>
  <c r="R9" i="16"/>
  <c r="R10" i="16"/>
  <c r="R7" i="16"/>
  <c r="Q8" i="16"/>
  <c r="Q9" i="16"/>
  <c r="Q10" i="16"/>
  <c r="Q7" i="16"/>
  <c r="P8" i="16"/>
  <c r="P9" i="16"/>
  <c r="P10" i="16"/>
  <c r="P7" i="16"/>
  <c r="O8" i="16"/>
  <c r="O9" i="16"/>
  <c r="O10" i="16"/>
  <c r="O7" i="16"/>
  <c r="N8" i="16"/>
  <c r="N9" i="16"/>
  <c r="N10" i="16"/>
  <c r="N7" i="16"/>
  <c r="M8" i="16"/>
  <c r="M9" i="16"/>
  <c r="M10" i="16"/>
  <c r="M7" i="16"/>
  <c r="L8" i="16"/>
  <c r="L9" i="16"/>
  <c r="L10" i="16"/>
  <c r="L7" i="16"/>
  <c r="K8" i="16"/>
  <c r="K7" i="16"/>
  <c r="J8" i="16"/>
  <c r="J7" i="16"/>
  <c r="I8" i="16"/>
  <c r="I9" i="16"/>
  <c r="I10" i="16"/>
  <c r="I7" i="16"/>
  <c r="H8" i="16"/>
  <c r="H9" i="16"/>
  <c r="H10" i="16"/>
  <c r="H7" i="16"/>
  <c r="G8" i="16"/>
  <c r="G9" i="16"/>
  <c r="G10" i="16"/>
  <c r="F8" i="16"/>
  <c r="F9" i="16"/>
  <c r="F10" i="16"/>
  <c r="G7" i="16"/>
  <c r="F7" i="16"/>
  <c r="Z7" i="16" s="1"/>
  <c r="AD7" i="16" s="1"/>
  <c r="B2" i="16"/>
  <c r="E10" i="16" s="1"/>
  <c r="AA8" i="16" l="1"/>
  <c r="AE8" i="16" s="1"/>
  <c r="Z8" i="16"/>
  <c r="AD8" i="16" s="1"/>
  <c r="AB10" i="16"/>
  <c r="AF10" i="16" s="1"/>
  <c r="AC10" i="16"/>
  <c r="AG10" i="16" s="1"/>
  <c r="K10" i="16"/>
  <c r="AA10" i="16" s="1"/>
  <c r="AE10" i="16" s="1"/>
  <c r="J10" i="16"/>
  <c r="Z10" i="16" s="1"/>
  <c r="AD10" i="16" s="1"/>
  <c r="E9" i="16"/>
  <c r="K9" i="16" l="1"/>
  <c r="AA9" i="16" s="1"/>
  <c r="AE9" i="16" s="1"/>
  <c r="J9" i="16"/>
  <c r="Z9" i="16" s="1"/>
  <c r="AD9" i="16" s="1"/>
  <c r="M5" i="4" l="1"/>
  <c r="M6" i="4"/>
  <c r="M7" i="4"/>
  <c r="M4" i="4"/>
  <c r="K5" i="4"/>
  <c r="K6" i="4"/>
  <c r="K7" i="4"/>
  <c r="K4" i="4"/>
  <c r="J5" i="4"/>
  <c r="L5" i="4" s="1"/>
  <c r="N5" i="4" s="1"/>
  <c r="H5" i="4"/>
  <c r="I5" i="4" s="1"/>
  <c r="H6" i="4"/>
  <c r="I6" i="4" s="1"/>
  <c r="J6" i="4" s="1"/>
  <c r="L6" i="4" s="1"/>
  <c r="N6" i="4" s="1"/>
  <c r="H7" i="4"/>
  <c r="I7" i="4" s="1"/>
  <c r="J7" i="4" s="1"/>
  <c r="L7" i="4" s="1"/>
  <c r="N7" i="4" s="1"/>
  <c r="H4" i="4"/>
  <c r="Q5" i="13"/>
  <c r="Q6" i="13"/>
  <c r="Q7" i="13"/>
  <c r="M3" i="15"/>
  <c r="M4" i="15"/>
  <c r="M5" i="15"/>
  <c r="M2" i="15"/>
  <c r="K3" i="15"/>
  <c r="K4" i="15"/>
  <c r="K5" i="15"/>
  <c r="K2" i="15"/>
  <c r="H3" i="15" l="1"/>
  <c r="I3" i="15" s="1"/>
  <c r="H4" i="15"/>
  <c r="I4" i="15" s="1"/>
  <c r="H5" i="15"/>
  <c r="I5" i="15" s="1"/>
  <c r="H2" i="15"/>
  <c r="I2" i="15" s="1"/>
  <c r="J2" i="15" s="1"/>
  <c r="L2" i="15" s="1"/>
  <c r="Q4" i="13"/>
  <c r="I4" i="4"/>
  <c r="J4" i="4" s="1"/>
  <c r="L4" i="4" s="1"/>
  <c r="J4" i="15" l="1"/>
  <c r="L4" i="15" s="1"/>
  <c r="N4" i="15" s="1"/>
  <c r="J5" i="15"/>
  <c r="L5" i="15" s="1"/>
  <c r="N5" i="15" s="1"/>
  <c r="J3" i="15"/>
  <c r="L3" i="15" s="1"/>
  <c r="N3" i="15" s="1"/>
  <c r="N2" i="15" l="1"/>
  <c r="N7" i="15" s="1"/>
  <c r="V5" i="12" l="1"/>
  <c r="V6" i="12"/>
  <c r="V7" i="12"/>
  <c r="V8" i="12"/>
  <c r="K3" i="1"/>
  <c r="T5" i="13" l="1"/>
  <c r="T6" i="13"/>
  <c r="T7" i="13"/>
  <c r="T4" i="13"/>
  <c r="S5" i="13"/>
  <c r="S6" i="13"/>
  <c r="S7" i="13"/>
  <c r="S4" i="13"/>
  <c r="N4" i="4" l="1"/>
  <c r="N5" i="13"/>
  <c r="O5" i="13" s="1"/>
  <c r="P5" i="13" s="1"/>
  <c r="N6" i="13"/>
  <c r="O6" i="13" s="1"/>
  <c r="P6" i="13" s="1"/>
  <c r="N7" i="13"/>
  <c r="O7" i="13" s="1"/>
  <c r="P7" i="13" s="1"/>
  <c r="N4" i="13"/>
  <c r="O4" i="13" s="1"/>
  <c r="P4" i="13" s="1"/>
  <c r="O1" i="13"/>
  <c r="H4" i="13"/>
  <c r="K4" i="13" s="1"/>
  <c r="H5" i="13"/>
  <c r="J5" i="13" s="1"/>
  <c r="H6" i="13"/>
  <c r="K6" i="13" s="1"/>
  <c r="H7" i="13"/>
  <c r="J7" i="13" s="1"/>
  <c r="F6" i="13"/>
  <c r="F7" i="13"/>
  <c r="F4" i="13"/>
  <c r="F5" i="13"/>
  <c r="D6" i="13"/>
  <c r="D7" i="13"/>
  <c r="D4" i="13"/>
  <c r="D5" i="13"/>
  <c r="AB5" i="12"/>
  <c r="AB6" i="12"/>
  <c r="AB7" i="12"/>
  <c r="AB8" i="12"/>
  <c r="W5" i="12"/>
  <c r="W6" i="12"/>
  <c r="W7" i="12"/>
  <c r="W8" i="12"/>
  <c r="F5" i="3"/>
  <c r="G5" i="3" s="1"/>
  <c r="H5" i="3" s="1"/>
  <c r="L5" i="12"/>
  <c r="L6" i="12"/>
  <c r="L7" i="12"/>
  <c r="L8" i="12"/>
  <c r="J6" i="12"/>
  <c r="J7" i="12"/>
  <c r="J8" i="12"/>
  <c r="J5" i="12"/>
  <c r="G5" i="12"/>
  <c r="G6" i="12"/>
  <c r="G7" i="12"/>
  <c r="G8" i="12"/>
  <c r="D5" i="12"/>
  <c r="D6" i="12"/>
  <c r="D7" i="12"/>
  <c r="D8" i="12"/>
  <c r="N3" i="1"/>
  <c r="O3" i="1" s="1"/>
  <c r="T3" i="1" s="1"/>
  <c r="N4" i="1"/>
  <c r="O4" i="1" s="1"/>
  <c r="T4" i="1" s="1"/>
  <c r="N5" i="1"/>
  <c r="O5" i="1" s="1"/>
  <c r="T5" i="1" s="1"/>
  <c r="N6" i="1"/>
  <c r="O6" i="1" s="1"/>
  <c r="T6" i="1" s="1"/>
  <c r="I3" i="1"/>
  <c r="J3" i="1" s="1"/>
  <c r="F3" i="1"/>
  <c r="G3" i="1" s="1"/>
  <c r="K6" i="1"/>
  <c r="I6" i="1" s="1"/>
  <c r="J6" i="1" s="1"/>
  <c r="K4" i="1"/>
  <c r="I4" i="1" s="1"/>
  <c r="J4" i="1" s="1"/>
  <c r="K5" i="1"/>
  <c r="F5" i="1" s="1"/>
  <c r="G5" i="1" s="1"/>
  <c r="Z7" i="12" l="1"/>
  <c r="AE7" i="12" s="1"/>
  <c r="Z8" i="12"/>
  <c r="AE8" i="12" s="1"/>
  <c r="S6" i="12"/>
  <c r="AF6" i="12" s="1"/>
  <c r="F6" i="1"/>
  <c r="G6" i="1" s="1"/>
  <c r="L6" i="1" s="1"/>
  <c r="U6" i="1" s="1"/>
  <c r="I5" i="1"/>
  <c r="J5" i="1" s="1"/>
  <c r="L5" i="1" s="1"/>
  <c r="U5" i="1" s="1"/>
  <c r="F4" i="1"/>
  <c r="G4" i="1" s="1"/>
  <c r="L4" i="1" s="1"/>
  <c r="U4" i="1" s="1"/>
  <c r="Z5" i="12"/>
  <c r="AE5" i="12" s="1"/>
  <c r="L3" i="1"/>
  <c r="U3" i="1" s="1"/>
  <c r="K5" i="13"/>
  <c r="L5" i="13" s="1"/>
  <c r="K7" i="13"/>
  <c r="L7" i="13" s="1"/>
  <c r="G4" i="13"/>
  <c r="G6" i="13"/>
  <c r="J6" i="13"/>
  <c r="J4" i="13"/>
  <c r="G5" i="13"/>
  <c r="G7" i="13"/>
  <c r="Z6" i="12"/>
  <c r="AE6" i="12" s="1"/>
  <c r="S7" i="12"/>
  <c r="AF7" i="12" s="1"/>
  <c r="S5" i="12"/>
  <c r="AF5" i="12" s="1"/>
  <c r="S8" i="12"/>
  <c r="AF8" i="12" l="1"/>
  <c r="V5" i="13"/>
  <c r="V7" i="13"/>
  <c r="U7" i="1"/>
  <c r="L4" i="13"/>
  <c r="V4" i="13" s="1"/>
  <c r="L6" i="13"/>
  <c r="V6" i="13" s="1"/>
  <c r="V4" i="12" l="1"/>
  <c r="W4" i="12"/>
  <c r="AB4" i="12"/>
  <c r="L4" i="12"/>
  <c r="J4" i="12"/>
  <c r="H4" i="12"/>
  <c r="G4" i="12"/>
  <c r="D4" i="12"/>
  <c r="Q4" i="12" l="1"/>
  <c r="Z4" i="12"/>
  <c r="AE4" i="12" s="1"/>
  <c r="N4" i="12"/>
  <c r="S4" i="12" s="1"/>
  <c r="F3" i="3"/>
  <c r="H3" i="3" s="1"/>
</calcChain>
</file>

<file path=xl/sharedStrings.xml><?xml version="1.0" encoding="utf-8"?>
<sst xmlns="http://schemas.openxmlformats.org/spreadsheetml/2006/main" count="381" uniqueCount="219">
  <si>
    <t xml:space="preserve">Nombre del Empleado </t>
  </si>
  <si>
    <t>SD</t>
  </si>
  <si>
    <t>SDC</t>
  </si>
  <si>
    <t>Salario Mensual</t>
  </si>
  <si>
    <t>PV</t>
  </si>
  <si>
    <t>AGUINALDO</t>
  </si>
  <si>
    <t xml:space="preserve">SDC Prestaciones Fijas </t>
  </si>
  <si>
    <t>MONTO PV</t>
  </si>
  <si>
    <t>MONTO A</t>
  </si>
  <si>
    <t xml:space="preserve">VALES  DESP  </t>
  </si>
  <si>
    <t xml:space="preserve">FONDO </t>
  </si>
  <si>
    <t xml:space="preserve">PREMIO ASIS </t>
  </si>
  <si>
    <t xml:space="preserve">DV </t>
  </si>
  <si>
    <t xml:space="preserve">% PV </t>
  </si>
  <si>
    <t xml:space="preserve">DA </t>
  </si>
  <si>
    <t xml:space="preserve">Años  </t>
  </si>
  <si>
    <t xml:space="preserve">MONTO EXCENTO DE VALES </t>
  </si>
  <si>
    <t>MONTO V</t>
  </si>
  <si>
    <t>MONTO PREM</t>
  </si>
  <si>
    <t>MONTO VALES ADD</t>
  </si>
  <si>
    <t>MONTO FON</t>
  </si>
  <si>
    <t>SUMA PS</t>
  </si>
  <si>
    <t xml:space="preserve">NOMBRE </t>
  </si>
  <si>
    <t>FACTOR DESCUENTO 2020</t>
  </si>
  <si>
    <t xml:space="preserve">TAREA 3 </t>
  </si>
  <si>
    <t xml:space="preserve">FACTOR DE TRABAJADOR </t>
  </si>
  <si>
    <t>NOMBRE</t>
  </si>
  <si>
    <t>J</t>
  </si>
  <si>
    <t>V</t>
  </si>
  <si>
    <t>S</t>
  </si>
  <si>
    <t>D</t>
  </si>
  <si>
    <t>L</t>
  </si>
  <si>
    <t>M</t>
  </si>
  <si>
    <t>PANCHITO</t>
  </si>
  <si>
    <t>Límite inferior</t>
  </si>
  <si>
    <t>Límite superior</t>
  </si>
  <si>
    <t>Cuota fija</t>
  </si>
  <si>
    <t>En adelante</t>
  </si>
  <si>
    <t>SBC</t>
  </si>
  <si>
    <t>CEAV</t>
  </si>
  <si>
    <t>X</t>
  </si>
  <si>
    <t xml:space="preserve">SD </t>
  </si>
  <si>
    <t xml:space="preserve">SUELDO QINCENAL </t>
  </si>
  <si>
    <t>RETROACTI</t>
  </si>
  <si>
    <t>DIAS EXTRA</t>
  </si>
  <si>
    <t xml:space="preserve">DIA FESTIVO </t>
  </si>
  <si>
    <t>NOMINA</t>
  </si>
  <si>
    <t>DIA DE DESCANSO</t>
  </si>
  <si>
    <t xml:space="preserve">PRIMA DOMINICAL </t>
  </si>
  <si>
    <t>DOM TRABAJADO</t>
  </si>
  <si>
    <t>% PA</t>
  </si>
  <si>
    <t>DT</t>
  </si>
  <si>
    <t xml:space="preserve">%VALES </t>
  </si>
  <si>
    <t>VALES MES</t>
  </si>
  <si>
    <t>PA 15</t>
  </si>
  <si>
    <t>TOTAL PERCEPCIONES</t>
  </si>
  <si>
    <t>PERCEPCIONES</t>
  </si>
  <si>
    <t>IMSS</t>
  </si>
  <si>
    <t>ISR</t>
  </si>
  <si>
    <t xml:space="preserve">FONDO EMPLEADO </t>
  </si>
  <si>
    <t>DESCUENTO FALTA</t>
  </si>
  <si>
    <t xml:space="preserve">CESANTIA VEJEZ </t>
  </si>
  <si>
    <t>FONDO EMPRESA</t>
  </si>
  <si>
    <t>TOTAL DEDUCCIONES</t>
  </si>
  <si>
    <t>% F</t>
  </si>
  <si>
    <t>FALTAS</t>
  </si>
  <si>
    <t>DIAS EXTRA INFO</t>
  </si>
  <si>
    <t>INFONAVIT 15L</t>
  </si>
  <si>
    <t>INFO DESC</t>
  </si>
  <si>
    <t xml:space="preserve">DF TRABAJADOS </t>
  </si>
  <si>
    <t>PAGO DF</t>
  </si>
  <si>
    <t xml:space="preserve">5 UMA </t>
  </si>
  <si>
    <t>1 UMA *D</t>
  </si>
  <si>
    <t>MARIA SAN</t>
  </si>
  <si>
    <t>CRISTOBAL COLON</t>
  </si>
  <si>
    <t>MIGUEL HIDALGO</t>
  </si>
  <si>
    <t>NAPOLEON BONAP</t>
  </si>
  <si>
    <t>CRISTOBAL C</t>
  </si>
  <si>
    <t>NAPOLEON B</t>
  </si>
  <si>
    <t>MIGUEL HID</t>
  </si>
  <si>
    <t>DD TRABAJ</t>
  </si>
  <si>
    <t>DEDUCCIONES</t>
  </si>
  <si>
    <t>% DES</t>
  </si>
  <si>
    <t>MARIA S</t>
  </si>
  <si>
    <t>MIGUEL H</t>
  </si>
  <si>
    <t xml:space="preserve">NAPOLEON </t>
  </si>
  <si>
    <t>DIA FESTIVO</t>
  </si>
  <si>
    <t>PRIMA DOMINICAL</t>
  </si>
  <si>
    <t xml:space="preserve">VALES DE DESPENSA </t>
  </si>
  <si>
    <t xml:space="preserve">30.4 VECES UMA </t>
  </si>
  <si>
    <t>% VALES</t>
  </si>
  <si>
    <t>E</t>
  </si>
  <si>
    <t>G</t>
  </si>
  <si>
    <t>PAGO               PD</t>
  </si>
  <si>
    <t>TOTAL</t>
  </si>
  <si>
    <t>EXCENTO</t>
  </si>
  <si>
    <t>GRAVADO</t>
  </si>
  <si>
    <t xml:space="preserve"> GRAVADO</t>
  </si>
  <si>
    <t>EXENTO TOTAL</t>
  </si>
  <si>
    <t>EXENTO</t>
  </si>
  <si>
    <t>PAGO VALES</t>
  </si>
  <si>
    <t>SALARIO BASE</t>
  </si>
  <si>
    <t>BONO EXTRA</t>
  </si>
  <si>
    <t>BASE GRAVABLE</t>
  </si>
  <si>
    <t>% X</t>
  </si>
  <si>
    <t>BG</t>
  </si>
  <si>
    <t>LIMITE INF</t>
  </si>
  <si>
    <t>EXCEDENTE</t>
  </si>
  <si>
    <t>CUOTA FIJA</t>
  </si>
  <si>
    <t>SUBSIDIO</t>
  </si>
  <si>
    <t>ISR A RETENER</t>
  </si>
  <si>
    <t>CONCEPTO NOMBRE</t>
  </si>
  <si>
    <t xml:space="preserve">DIAS  AGUINALDO </t>
  </si>
  <si>
    <t xml:space="preserve">DIAS VACACIONES </t>
  </si>
  <si>
    <t>INGRESO</t>
  </si>
  <si>
    <t>BONO</t>
  </si>
  <si>
    <t>SB 15nal</t>
  </si>
  <si>
    <t>Nombre</t>
  </si>
  <si>
    <t xml:space="preserve">Base Gravable </t>
  </si>
  <si>
    <t>Cuota Fija</t>
  </si>
  <si>
    <t>ISR-SUBSIDIO</t>
  </si>
  <si>
    <t>María Sanchez</t>
  </si>
  <si>
    <t>Cristobal Colon</t>
  </si>
  <si>
    <t xml:space="preserve">Miguel Hidalgo </t>
  </si>
  <si>
    <t>Napoleon Bonaparte</t>
  </si>
  <si>
    <t>X LI</t>
  </si>
  <si>
    <t xml:space="preserve">UMA </t>
  </si>
  <si>
    <t>UMA X3</t>
  </si>
  <si>
    <t>T</t>
  </si>
  <si>
    <t>Diferencia entre el SBC y tres veces la UMA2</t>
  </si>
  <si>
    <t>Límite Inferior</t>
  </si>
  <si>
    <t>Límite Superior</t>
  </si>
  <si>
    <t>% sobre excedente de límite inferior</t>
  </si>
  <si>
    <t>Para Ingresos de:</t>
  </si>
  <si>
    <t>Hasta Ingresos de:</t>
  </si>
  <si>
    <t>Cantidad de subsidio para el empleo mensual</t>
  </si>
  <si>
    <t>Para ingresos de</t>
  </si>
  <si>
    <t>Hasta ingresos de</t>
  </si>
  <si>
    <t>Cantidad de subsidio para el empleo quincenal</t>
  </si>
  <si>
    <t>LI</t>
  </si>
  <si>
    <t>% APP al Xli</t>
  </si>
  <si>
    <t xml:space="preserve">% CLASE 1 </t>
  </si>
  <si>
    <t>Clave</t>
  </si>
  <si>
    <t>Días</t>
  </si>
  <si>
    <t>SDI</t>
  </si>
  <si>
    <t>SEGURO Y CONCEPTO</t>
  </si>
  <si>
    <t>PRESTACIONES</t>
  </si>
  <si>
    <t>CUOTAS</t>
  </si>
  <si>
    <t>BASE SALARIAL</t>
  </si>
  <si>
    <t>RIESGOS DE TRABAJO</t>
  </si>
  <si>
    <t>ENFERMEDADES Y MATERNIDAD</t>
  </si>
  <si>
    <t>INVALIDEZ Y VIDA</t>
  </si>
  <si>
    <t>INFONAVIT</t>
  </si>
  <si>
    <t>RETIRO</t>
  </si>
  <si>
    <t>EN ESPECIE Y DINERO</t>
  </si>
  <si>
    <t>EN ESPECIE</t>
  </si>
  <si>
    <t>EN DINERO</t>
  </si>
  <si>
    <t>CREDITO P VIVIENDA</t>
  </si>
  <si>
    <t>GUARDERÍAS Y PS</t>
  </si>
  <si>
    <t>P</t>
  </si>
  <si>
    <t>GASTOS MÉDICOS PENSI Y BENE</t>
  </si>
  <si>
    <t>X 3 veces la UMA2</t>
  </si>
  <si>
    <t>X la / del SBC y de 3 veces la UMA2</t>
  </si>
  <si>
    <t>SB DE APORTACION</t>
  </si>
  <si>
    <t xml:space="preserve">MARIA SANCHEZ </t>
  </si>
  <si>
    <t xml:space="preserve">CRISTOBAL COLON </t>
  </si>
  <si>
    <t>NAPOLEON BONAPA</t>
  </si>
  <si>
    <t>T15</t>
  </si>
  <si>
    <t>P15</t>
  </si>
  <si>
    <t>UMA</t>
  </si>
  <si>
    <t>SUB TOTAL</t>
  </si>
  <si>
    <t>SUB T  T</t>
  </si>
  <si>
    <t>SUB T P</t>
  </si>
  <si>
    <t>T CEAV T</t>
  </si>
  <si>
    <t>CEAV P</t>
  </si>
  <si>
    <t>CEAV 15 T</t>
  </si>
  <si>
    <t>CEAV 15 P</t>
  </si>
  <si>
    <t xml:space="preserve">DIAS LABORADOS </t>
  </si>
  <si>
    <t xml:space="preserve">DESCUENTO DIARIO </t>
  </si>
  <si>
    <t>DESCUENTO MENSUAL</t>
  </si>
  <si>
    <t>DESCUENTO 15NAL</t>
  </si>
  <si>
    <t>DESCUENTO LABORADO</t>
  </si>
  <si>
    <t xml:space="preserve">NETO </t>
  </si>
  <si>
    <t>P-D</t>
  </si>
  <si>
    <t>VACACIONES</t>
  </si>
  <si>
    <t>A</t>
  </si>
  <si>
    <t>PERIODO A</t>
  </si>
  <si>
    <t>FECHA INICAL A</t>
  </si>
  <si>
    <t>31/DIC -29 DIC</t>
  </si>
  <si>
    <t>01/ENE 31/DIC</t>
  </si>
  <si>
    <t>01/OCT- 31/SEP</t>
  </si>
  <si>
    <r>
      <t xml:space="preserve">SUELDO </t>
    </r>
    <r>
      <rPr>
        <b/>
        <sz val="8"/>
        <color theme="1"/>
        <rFont val="Calibri"/>
        <family val="2"/>
        <scheme val="minor"/>
      </rPr>
      <t xml:space="preserve"> Mensual</t>
    </r>
  </si>
  <si>
    <t xml:space="preserve">F.INGRESO </t>
  </si>
  <si>
    <t>F. BAJA</t>
  </si>
  <si>
    <t>PERIODO vacaciones</t>
  </si>
  <si>
    <t xml:space="preserve">Fi VACACIONES </t>
  </si>
  <si>
    <t xml:space="preserve">PAMELA VILLAFUERTE </t>
  </si>
  <si>
    <t>NAYELI SANCHEZ</t>
  </si>
  <si>
    <r>
      <t xml:space="preserve">AGUINALDO  </t>
    </r>
    <r>
      <rPr>
        <b/>
        <sz val="5"/>
        <color theme="1"/>
        <rFont val="Calibri"/>
        <family val="2"/>
        <scheme val="minor"/>
      </rPr>
      <t>(SD)</t>
    </r>
  </si>
  <si>
    <t>01/MAY/20-31/ABR/20</t>
  </si>
  <si>
    <r>
      <t xml:space="preserve">DIAS A </t>
    </r>
    <r>
      <rPr>
        <sz val="5"/>
        <color theme="1"/>
        <rFont val="Calibri"/>
        <family val="2"/>
        <scheme val="minor"/>
      </rPr>
      <t>NO DEVENGADOS</t>
    </r>
  </si>
  <si>
    <r>
      <t xml:space="preserve">DIAS  V </t>
    </r>
    <r>
      <rPr>
        <sz val="5"/>
        <color theme="1"/>
        <rFont val="Calibri"/>
        <family val="2"/>
        <scheme val="minor"/>
      </rPr>
      <t>NO DEVENGADOS</t>
    </r>
    <r>
      <rPr>
        <sz val="10"/>
        <color theme="1"/>
        <rFont val="Calibri"/>
        <family val="2"/>
        <scheme val="minor"/>
      </rPr>
      <t xml:space="preserve"> </t>
    </r>
  </si>
  <si>
    <r>
      <t xml:space="preserve">PV </t>
    </r>
    <r>
      <rPr>
        <sz val="6"/>
        <color theme="1"/>
        <rFont val="Calibri"/>
        <family val="2"/>
        <scheme val="minor"/>
      </rPr>
      <t xml:space="preserve">NO DEVENGADA  </t>
    </r>
  </si>
  <si>
    <t>NOV</t>
  </si>
  <si>
    <t>DIC</t>
  </si>
  <si>
    <t>FEB</t>
  </si>
  <si>
    <t>MAR</t>
  </si>
  <si>
    <t>ABR</t>
  </si>
  <si>
    <t>MAY</t>
  </si>
  <si>
    <t>JUNI</t>
  </si>
  <si>
    <t>JULI</t>
  </si>
  <si>
    <t>AGO</t>
  </si>
  <si>
    <t>SEP</t>
  </si>
  <si>
    <t>OCT</t>
  </si>
  <si>
    <t>ENE</t>
  </si>
  <si>
    <t>NAYELI</t>
  </si>
  <si>
    <t>PAMELA</t>
  </si>
  <si>
    <t>Año aniversario VACACIONES</t>
  </si>
  <si>
    <r>
      <t xml:space="preserve">Año calendario </t>
    </r>
    <r>
      <rPr>
        <b/>
        <sz val="8"/>
        <color theme="1"/>
        <rFont val="Calibri"/>
        <family val="2"/>
        <scheme val="minor"/>
      </rPr>
      <t>Aguinaldon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</si>
</sst>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d"/>
    <numFmt numFmtId="165" formatCode="yyyy"/>
    <numFmt numFmtId="166" formatCode="mmmm"/>
    <numFmt numFmtId="167" formatCode="0.0000"/>
    <numFmt numFmtId="168" formatCode="0.00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444444"/>
      <name val="Arial"/>
      <family val="2"/>
    </font>
    <font>
      <sz val="10"/>
      <color indexed="22"/>
      <name val="Calibri"/>
      <family val="2"/>
      <scheme val="minor"/>
    </font>
    <font>
      <sz val="36"/>
      <color indexed="62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63"/>
      <name val="Calibri"/>
      <family val="2"/>
      <scheme val="minor"/>
    </font>
    <font>
      <sz val="8"/>
      <color indexed="63"/>
      <name val="Calibri"/>
      <family val="2"/>
      <scheme val="minor"/>
    </font>
    <font>
      <sz val="8"/>
      <color indexed="22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555555"/>
      <name val="Georgia"/>
      <family val="1"/>
    </font>
    <font>
      <sz val="9"/>
      <color rgb="FF555555"/>
      <name val="Arial"/>
      <family val="2"/>
    </font>
    <font>
      <sz val="10"/>
      <color rgb="FF555555"/>
      <name val="Georgia"/>
      <family val="1"/>
    </font>
    <font>
      <sz val="8"/>
      <color rgb="FF555555"/>
      <name val="Georgia"/>
      <family val="1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8"/>
      <color indexed="8"/>
      <name val="Arial"/>
      <family val="2"/>
    </font>
    <font>
      <b/>
      <i/>
      <sz val="8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 style="medium">
        <color rgb="FFC1C3D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FDFDF"/>
      </left>
      <right style="medium">
        <color rgb="FFFFFFFF"/>
      </right>
      <top style="medium">
        <color rgb="FFDFDFDF"/>
      </top>
      <bottom style="medium">
        <color rgb="FFDFDFDF"/>
      </bottom>
      <diagonal/>
    </border>
    <border>
      <left style="medium">
        <color rgb="FFFFFFFF"/>
      </left>
      <right style="medium">
        <color rgb="FFFFFFFF"/>
      </right>
      <top style="medium">
        <color rgb="FFDFDFDF"/>
      </top>
      <bottom style="medium">
        <color rgb="FFDFDFDF"/>
      </bottom>
      <diagonal/>
    </border>
    <border>
      <left style="medium">
        <color rgb="FFFFFFFF"/>
      </left>
      <right style="medium">
        <color rgb="FFDFDFDF"/>
      </right>
      <top style="medium">
        <color rgb="FFDFDFDF"/>
      </top>
      <bottom style="medium">
        <color rgb="FFDFDFDF"/>
      </bottom>
      <diagonal/>
    </border>
    <border>
      <left style="medium">
        <color rgb="FFDFDFDF"/>
      </left>
      <right/>
      <top style="medium">
        <color rgb="FFFFFFFF"/>
      </top>
      <bottom style="medium">
        <color rgb="FFDFDFDF"/>
      </bottom>
      <diagonal/>
    </border>
    <border>
      <left/>
      <right/>
      <top style="medium">
        <color rgb="FFFFFFFF"/>
      </top>
      <bottom style="medium">
        <color rgb="FFDFDFDF"/>
      </bottom>
      <diagonal/>
    </border>
    <border>
      <left/>
      <right style="medium">
        <color rgb="FFDFDFDF"/>
      </right>
      <top style="medium">
        <color rgb="FFFFFFFF"/>
      </top>
      <bottom style="medium">
        <color rgb="FFDFDFDF"/>
      </bottom>
      <diagonal/>
    </border>
    <border>
      <left/>
      <right/>
      <top style="medium">
        <color rgb="FFC1C3D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Fill="1"/>
    <xf numFmtId="0" fontId="3" fillId="2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vertical="center"/>
    </xf>
    <xf numFmtId="2" fontId="0" fillId="0" borderId="0" xfId="0" applyNumberFormat="1"/>
    <xf numFmtId="0" fontId="3" fillId="6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8" borderId="0" xfId="0" applyFont="1" applyFill="1"/>
    <xf numFmtId="0" fontId="2" fillId="7" borderId="0" xfId="0" applyFont="1" applyFill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vertical="center"/>
    </xf>
    <xf numFmtId="0" fontId="8" fillId="0" borderId="0" xfId="0" applyFont="1"/>
    <xf numFmtId="0" fontId="2" fillId="0" borderId="0" xfId="0" applyFont="1" applyFill="1"/>
    <xf numFmtId="0" fontId="9" fillId="11" borderId="0" xfId="0" applyFont="1" applyFill="1" applyAlignment="1">
      <alignment horizontal="center" wrapText="1"/>
    </xf>
    <xf numFmtId="4" fontId="9" fillId="11" borderId="0" xfId="0" applyNumberFormat="1" applyFont="1" applyFill="1" applyAlignment="1">
      <alignment horizontal="center" wrapText="1"/>
    </xf>
    <xf numFmtId="0" fontId="12" fillId="14" borderId="0" xfId="0" applyFont="1" applyFill="1" applyAlignment="1">
      <alignment horizontal="center" vertical="center"/>
    </xf>
    <xf numFmtId="0" fontId="14" fillId="14" borderId="0" xfId="0" applyFont="1" applyFill="1" applyAlignment="1"/>
    <xf numFmtId="0" fontId="14" fillId="14" borderId="0" xfId="0" applyFont="1" applyFill="1"/>
    <xf numFmtId="0" fontId="14" fillId="14" borderId="0" xfId="0" applyFont="1" applyFill="1" applyAlignment="1">
      <alignment horizontal="left"/>
    </xf>
    <xf numFmtId="0" fontId="12" fillId="14" borderId="0" xfId="0" applyFont="1" applyFill="1"/>
    <xf numFmtId="0" fontId="14" fillId="14" borderId="0" xfId="0" applyFont="1" applyFill="1" applyAlignment="1">
      <alignment vertical="center"/>
    </xf>
    <xf numFmtId="0" fontId="16" fillId="10" borderId="6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164" fontId="18" fillId="13" borderId="8" xfId="0" applyNumberFormat="1" applyFont="1" applyFill="1" applyBorder="1" applyAlignment="1">
      <alignment horizontal="center" vertical="center"/>
    </xf>
    <xf numFmtId="164" fontId="18" fillId="13" borderId="9" xfId="0" applyNumberFormat="1" applyFont="1" applyFill="1" applyBorder="1" applyAlignment="1">
      <alignment horizontal="center" vertical="center"/>
    </xf>
    <xf numFmtId="164" fontId="19" fillId="0" borderId="9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8" xfId="0" applyNumberFormat="1" applyFont="1" applyFill="1" applyBorder="1" applyAlignment="1">
      <alignment horizontal="center" vertical="center"/>
    </xf>
    <xf numFmtId="164" fontId="18" fillId="13" borderId="10" xfId="0" applyNumberFormat="1" applyFont="1" applyFill="1" applyBorder="1" applyAlignment="1">
      <alignment horizontal="center" vertical="center"/>
    </xf>
    <xf numFmtId="164" fontId="18" fillId="13" borderId="11" xfId="0" applyNumberFormat="1" applyFont="1" applyFill="1" applyBorder="1" applyAlignment="1">
      <alignment horizontal="center" vertical="center"/>
    </xf>
    <xf numFmtId="164" fontId="18" fillId="13" borderId="12" xfId="0" applyNumberFormat="1" applyFont="1" applyFill="1" applyBorder="1" applyAlignment="1">
      <alignment horizontal="center" vertical="center"/>
    </xf>
    <xf numFmtId="164" fontId="18" fillId="13" borderId="13" xfId="0" applyNumberFormat="1" applyFont="1" applyFill="1" applyBorder="1" applyAlignment="1">
      <alignment horizontal="center" vertical="center"/>
    </xf>
    <xf numFmtId="164" fontId="19" fillId="0" borderId="11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12" fillId="14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10" borderId="0" xfId="0" applyFill="1"/>
    <xf numFmtId="0" fontId="2" fillId="10" borderId="0" xfId="0" applyFont="1" applyFill="1" applyAlignment="1">
      <alignment horizontal="center" vertical="center" wrapText="1"/>
    </xf>
    <xf numFmtId="0" fontId="21" fillId="10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3" fillId="1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16" borderId="0" xfId="0" applyFont="1" applyFill="1" applyAlignment="1">
      <alignment horizontal="center" vertical="center" wrapText="1"/>
    </xf>
    <xf numFmtId="0" fontId="21" fillId="16" borderId="0" xfId="0" applyFont="1" applyFill="1" applyAlignment="1">
      <alignment horizontal="center" vertical="center" wrapText="1"/>
    </xf>
    <xf numFmtId="0" fontId="3" fillId="1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7" borderId="0" xfId="0" applyFont="1" applyFill="1" applyAlignment="1">
      <alignment horizontal="center" vertical="center" wrapText="1"/>
    </xf>
    <xf numFmtId="0" fontId="21" fillId="17" borderId="0" xfId="0" applyFont="1" applyFill="1" applyAlignment="1">
      <alignment horizontal="center" vertical="center" wrapText="1"/>
    </xf>
    <xf numFmtId="0" fontId="2" fillId="17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2" fillId="18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21" fillId="7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/>
    </xf>
    <xf numFmtId="14" fontId="0" fillId="0" borderId="0" xfId="0" applyNumberFormat="1"/>
    <xf numFmtId="15" fontId="0" fillId="0" borderId="0" xfId="0" applyNumberFormat="1" applyAlignment="1">
      <alignment horizontal="center"/>
    </xf>
    <xf numFmtId="0" fontId="2" fillId="19" borderId="0" xfId="0" applyFont="1" applyFill="1" applyAlignment="1">
      <alignment horizontal="center" vertical="center" wrapText="1"/>
    </xf>
    <xf numFmtId="0" fontId="0" fillId="19" borderId="0" xfId="0" applyFill="1"/>
    <xf numFmtId="2" fontId="0" fillId="0" borderId="0" xfId="1" applyNumberFormat="1" applyFont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21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  <xf numFmtId="0" fontId="22" fillId="0" borderId="0" xfId="0" applyFont="1" applyFill="1" applyAlignment="1">
      <alignment vertical="top" wrapText="1"/>
    </xf>
    <xf numFmtId="0" fontId="22" fillId="0" borderId="0" xfId="0" applyFont="1" applyFill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2" fontId="22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7" fillId="11" borderId="20" xfId="0" applyFont="1" applyFill="1" applyBorder="1" applyAlignment="1">
      <alignment vertical="top" wrapText="1"/>
    </xf>
    <xf numFmtId="0" fontId="27" fillId="11" borderId="21" xfId="0" applyFont="1" applyFill="1" applyBorder="1" applyAlignment="1">
      <alignment vertical="top" wrapText="1"/>
    </xf>
    <xf numFmtId="167" fontId="27" fillId="11" borderId="22" xfId="0" applyNumberFormat="1" applyFont="1" applyFill="1" applyBorder="1" applyAlignment="1">
      <alignment vertical="top" wrapText="1"/>
    </xf>
    <xf numFmtId="0" fontId="27" fillId="22" borderId="20" xfId="0" applyFont="1" applyFill="1" applyBorder="1" applyAlignment="1">
      <alignment vertical="top" wrapText="1"/>
    </xf>
    <xf numFmtId="0" fontId="27" fillId="22" borderId="21" xfId="0" applyFont="1" applyFill="1" applyBorder="1" applyAlignment="1">
      <alignment vertical="top" wrapText="1"/>
    </xf>
    <xf numFmtId="0" fontId="27" fillId="0" borderId="20" xfId="0" applyFont="1" applyBorder="1" applyAlignment="1">
      <alignment vertical="top" wrapText="1"/>
    </xf>
    <xf numFmtId="0" fontId="27" fillId="0" borderId="21" xfId="0" applyFont="1" applyBorder="1" applyAlignment="1">
      <alignment vertical="top" wrapText="1"/>
    </xf>
    <xf numFmtId="3" fontId="27" fillId="22" borderId="21" xfId="0" applyNumberFormat="1" applyFont="1" applyFill="1" applyBorder="1" applyAlignment="1">
      <alignment vertical="top" wrapText="1"/>
    </xf>
    <xf numFmtId="0" fontId="27" fillId="11" borderId="20" xfId="0" applyFont="1" applyFill="1" applyBorder="1" applyAlignment="1">
      <alignment vertical="top" wrapText="1"/>
    </xf>
    <xf numFmtId="0" fontId="27" fillId="11" borderId="21" xfId="0" applyFont="1" applyFill="1" applyBorder="1" applyAlignment="1">
      <alignment vertical="top" wrapText="1"/>
    </xf>
    <xf numFmtId="4" fontId="27" fillId="11" borderId="21" xfId="0" applyNumberFormat="1" applyFont="1" applyFill="1" applyBorder="1" applyAlignment="1">
      <alignment vertical="top" wrapText="1"/>
    </xf>
    <xf numFmtId="0" fontId="27" fillId="11" borderId="22" xfId="0" applyFont="1" applyFill="1" applyBorder="1" applyAlignment="1">
      <alignment vertical="top" wrapText="1"/>
    </xf>
    <xf numFmtId="4" fontId="27" fillId="22" borderId="20" xfId="0" applyNumberFormat="1" applyFont="1" applyFill="1" applyBorder="1" applyAlignment="1">
      <alignment vertical="top" wrapText="1"/>
    </xf>
    <xf numFmtId="4" fontId="27" fillId="22" borderId="21" xfId="0" applyNumberFormat="1" applyFont="1" applyFill="1" applyBorder="1" applyAlignment="1">
      <alignment vertical="top" wrapText="1"/>
    </xf>
    <xf numFmtId="0" fontId="27" fillId="22" borderId="22" xfId="0" applyFont="1" applyFill="1" applyBorder="1" applyAlignment="1">
      <alignment vertical="top" wrapText="1"/>
    </xf>
    <xf numFmtId="4" fontId="27" fillId="11" borderId="20" xfId="0" applyNumberFormat="1" applyFont="1" applyFill="1" applyBorder="1" applyAlignment="1">
      <alignment vertical="top" wrapText="1"/>
    </xf>
    <xf numFmtId="4" fontId="27" fillId="15" borderId="20" xfId="0" applyNumberFormat="1" applyFont="1" applyFill="1" applyBorder="1" applyAlignment="1">
      <alignment vertical="top" wrapText="1"/>
    </xf>
    <xf numFmtId="4" fontId="27" fillId="15" borderId="21" xfId="0" applyNumberFormat="1" applyFont="1" applyFill="1" applyBorder="1" applyAlignment="1">
      <alignment vertical="top" wrapText="1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4" fontId="0" fillId="0" borderId="0" xfId="0" applyNumberFormat="1" applyFill="1" applyAlignment="1">
      <alignment horizontal="left" vertical="center" wrapText="1"/>
    </xf>
    <xf numFmtId="0" fontId="27" fillId="11" borderId="20" xfId="0" applyFont="1" applyFill="1" applyBorder="1" applyAlignment="1">
      <alignment vertical="top" wrapText="1"/>
    </xf>
    <xf numFmtId="0" fontId="27" fillId="11" borderId="21" xfId="0" applyFont="1" applyFill="1" applyBorder="1" applyAlignment="1">
      <alignment vertical="top" wrapText="1"/>
    </xf>
    <xf numFmtId="167" fontId="27" fillId="11" borderId="22" xfId="0" applyNumberFormat="1" applyFont="1" applyFill="1" applyBorder="1" applyAlignment="1">
      <alignment vertical="top" wrapText="1"/>
    </xf>
    <xf numFmtId="0" fontId="27" fillId="22" borderId="21" xfId="0" applyFont="1" applyFill="1" applyBorder="1" applyAlignment="1">
      <alignment vertical="top" wrapText="1"/>
    </xf>
    <xf numFmtId="3" fontId="27" fillId="22" borderId="21" xfId="0" applyNumberFormat="1" applyFont="1" applyFill="1" applyBorder="1" applyAlignment="1">
      <alignment vertical="top" wrapText="1"/>
    </xf>
    <xf numFmtId="4" fontId="27" fillId="11" borderId="21" xfId="0" applyNumberFormat="1" applyFont="1" applyFill="1" applyBorder="1" applyAlignment="1">
      <alignment vertical="top" wrapText="1"/>
    </xf>
    <xf numFmtId="4" fontId="27" fillId="22" borderId="20" xfId="0" applyNumberFormat="1" applyFont="1" applyFill="1" applyBorder="1" applyAlignment="1">
      <alignment vertical="top" wrapText="1"/>
    </xf>
    <xf numFmtId="4" fontId="27" fillId="22" borderId="21" xfId="0" applyNumberFormat="1" applyFont="1" applyFill="1" applyBorder="1" applyAlignment="1">
      <alignment vertical="top" wrapText="1"/>
    </xf>
    <xf numFmtId="4" fontId="27" fillId="0" borderId="20" xfId="0" applyNumberFormat="1" applyFont="1" applyBorder="1" applyAlignment="1">
      <alignment vertical="top" wrapText="1"/>
    </xf>
    <xf numFmtId="0" fontId="9" fillId="0" borderId="0" xfId="0" applyFont="1" applyFill="1" applyAlignment="1">
      <alignment horizontal="left" vertical="center" wrapText="1"/>
    </xf>
    <xf numFmtId="4" fontId="9" fillId="0" borderId="0" xfId="0" applyNumberFormat="1" applyFont="1" applyFill="1" applyAlignment="1">
      <alignment horizontal="left" vertical="center" wrapText="1"/>
    </xf>
    <xf numFmtId="0" fontId="0" fillId="0" borderId="0" xfId="0"/>
    <xf numFmtId="0" fontId="27" fillId="11" borderId="20" xfId="0" applyFont="1" applyFill="1" applyBorder="1" applyAlignment="1">
      <alignment vertical="top" wrapText="1"/>
    </xf>
    <xf numFmtId="0" fontId="27" fillId="11" borderId="21" xfId="0" applyFont="1" applyFill="1" applyBorder="1" applyAlignment="1">
      <alignment vertical="top" wrapText="1"/>
    </xf>
    <xf numFmtId="0" fontId="27" fillId="22" borderId="20" xfId="0" applyFont="1" applyFill="1" applyBorder="1" applyAlignment="1">
      <alignment vertical="top" wrapText="1"/>
    </xf>
    <xf numFmtId="4" fontId="27" fillId="11" borderId="21" xfId="0" applyNumberFormat="1" applyFont="1" applyFill="1" applyBorder="1" applyAlignment="1">
      <alignment vertical="top" wrapText="1"/>
    </xf>
    <xf numFmtId="0" fontId="27" fillId="11" borderId="22" xfId="0" applyFont="1" applyFill="1" applyBorder="1" applyAlignment="1">
      <alignment vertical="top" wrapText="1"/>
    </xf>
    <xf numFmtId="4" fontId="27" fillId="22" borderId="20" xfId="0" applyNumberFormat="1" applyFont="1" applyFill="1" applyBorder="1" applyAlignment="1">
      <alignment vertical="top" wrapText="1"/>
    </xf>
    <xf numFmtId="4" fontId="27" fillId="22" borderId="21" xfId="0" applyNumberFormat="1" applyFont="1" applyFill="1" applyBorder="1" applyAlignment="1">
      <alignment vertical="top" wrapText="1"/>
    </xf>
    <xf numFmtId="0" fontId="27" fillId="22" borderId="22" xfId="0" applyFont="1" applyFill="1" applyBorder="1" applyAlignment="1">
      <alignment vertical="top" wrapText="1"/>
    </xf>
    <xf numFmtId="4" fontId="27" fillId="11" borderId="20" xfId="0" applyNumberFormat="1" applyFont="1" applyFill="1" applyBorder="1" applyAlignment="1">
      <alignment vertical="top" wrapText="1"/>
    </xf>
    <xf numFmtId="0" fontId="26" fillId="20" borderId="17" xfId="0" applyFont="1" applyFill="1" applyBorder="1" applyAlignment="1">
      <alignment horizontal="left" vertical="center" wrapText="1"/>
    </xf>
    <xf numFmtId="0" fontId="26" fillId="20" borderId="18" xfId="0" applyFont="1" applyFill="1" applyBorder="1" applyAlignment="1">
      <alignment horizontal="left" vertical="center" wrapText="1"/>
    </xf>
    <xf numFmtId="0" fontId="26" fillId="20" borderId="19" xfId="0" applyFont="1" applyFill="1" applyBorder="1" applyAlignment="1">
      <alignment horizontal="left" vertical="center" wrapText="1"/>
    </xf>
    <xf numFmtId="0" fontId="29" fillId="20" borderId="17" xfId="0" applyFont="1" applyFill="1" applyBorder="1" applyAlignment="1">
      <alignment horizontal="left" vertical="center" wrapText="1"/>
    </xf>
    <xf numFmtId="0" fontId="29" fillId="20" borderId="18" xfId="0" applyFont="1" applyFill="1" applyBorder="1" applyAlignment="1">
      <alignment horizontal="left" vertical="center" wrapText="1"/>
    </xf>
    <xf numFmtId="0" fontId="29" fillId="20" borderId="19" xfId="0" applyFont="1" applyFill="1" applyBorder="1" applyAlignment="1">
      <alignment horizontal="left" vertical="center" wrapText="1"/>
    </xf>
    <xf numFmtId="0" fontId="21" fillId="20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horizontal="center" vertical="center" wrapText="1"/>
    </xf>
    <xf numFmtId="0" fontId="26" fillId="21" borderId="17" xfId="0" applyFont="1" applyFill="1" applyBorder="1" applyAlignment="1">
      <alignment horizontal="left" vertical="center" wrapText="1"/>
    </xf>
    <xf numFmtId="0" fontId="26" fillId="21" borderId="18" xfId="0" applyFont="1" applyFill="1" applyBorder="1" applyAlignment="1">
      <alignment horizontal="left" vertical="center" wrapText="1"/>
    </xf>
    <xf numFmtId="0" fontId="26" fillId="21" borderId="19" xfId="0" applyFont="1" applyFill="1" applyBorder="1" applyAlignment="1">
      <alignment horizontal="left" vertical="center" wrapText="1"/>
    </xf>
    <xf numFmtId="0" fontId="28" fillId="21" borderId="17" xfId="0" applyFont="1" applyFill="1" applyBorder="1" applyAlignment="1">
      <alignment horizontal="left" vertical="center" wrapText="1"/>
    </xf>
    <xf numFmtId="0" fontId="28" fillId="21" borderId="18" xfId="0" applyFont="1" applyFill="1" applyBorder="1" applyAlignment="1">
      <alignment horizontal="left" vertical="center" wrapText="1"/>
    </xf>
    <xf numFmtId="0" fontId="28" fillId="21" borderId="19" xfId="0" applyFont="1" applyFill="1" applyBorder="1" applyAlignment="1">
      <alignment horizontal="left" vertical="center" wrapText="1"/>
    </xf>
    <xf numFmtId="0" fontId="10" fillId="21" borderId="0" xfId="0" applyFont="1" applyFill="1" applyAlignment="1">
      <alignment horizontal="left" vertical="center" wrapText="1"/>
    </xf>
    <xf numFmtId="44" fontId="24" fillId="21" borderId="16" xfId="0" applyNumberFormat="1" applyFont="1" applyFill="1" applyBorder="1" applyAlignment="1">
      <alignment horizontal="center" vertical="center" wrapText="1"/>
    </xf>
    <xf numFmtId="0" fontId="24" fillId="21" borderId="6" xfId="0" applyFont="1" applyFill="1" applyBorder="1" applyAlignment="1">
      <alignment horizontal="center" vertical="center" wrapText="1"/>
    </xf>
    <xf numFmtId="4" fontId="27" fillId="20" borderId="20" xfId="0" applyNumberFormat="1" applyFont="1" applyFill="1" applyBorder="1" applyAlignment="1">
      <alignment vertical="top" wrapText="1"/>
    </xf>
    <xf numFmtId="4" fontId="27" fillId="20" borderId="21" xfId="0" applyNumberFormat="1" applyFont="1" applyFill="1" applyBorder="1" applyAlignment="1">
      <alignment vertical="top" wrapText="1"/>
    </xf>
    <xf numFmtId="0" fontId="27" fillId="20" borderId="21" xfId="0" applyFont="1" applyFill="1" applyBorder="1" applyAlignment="1">
      <alignment vertical="top" wrapText="1"/>
    </xf>
    <xf numFmtId="167" fontId="27" fillId="20" borderId="22" xfId="0" applyNumberFormat="1" applyFont="1" applyFill="1" applyBorder="1" applyAlignment="1">
      <alignment vertical="top" wrapText="1"/>
    </xf>
    <xf numFmtId="0" fontId="27" fillId="20" borderId="20" xfId="0" applyFont="1" applyFill="1" applyBorder="1" applyAlignment="1">
      <alignment vertical="top" wrapText="1"/>
    </xf>
    <xf numFmtId="2" fontId="30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11" fillId="11" borderId="5" xfId="0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7" fillId="10" borderId="0" xfId="0" applyFont="1" applyFill="1" applyAlignment="1">
      <alignment horizontal="center" vertical="center"/>
    </xf>
    <xf numFmtId="0" fontId="32" fillId="5" borderId="0" xfId="0" applyFont="1" applyFill="1" applyAlignment="1">
      <alignment horizontal="center" vertical="center"/>
    </xf>
    <xf numFmtId="0" fontId="32" fillId="10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32" fillId="20" borderId="0" xfId="0" applyFont="1" applyFill="1" applyAlignment="1">
      <alignment horizontal="center" vertical="center"/>
    </xf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" fillId="0" borderId="0" xfId="0" applyFont="1"/>
    <xf numFmtId="0" fontId="39" fillId="10" borderId="0" xfId="0" applyFont="1" applyFill="1" applyAlignment="1">
      <alignment horizontal="center" vertical="center" wrapText="1"/>
    </xf>
    <xf numFmtId="0" fontId="2" fillId="10" borderId="0" xfId="0" applyFont="1" applyFill="1"/>
    <xf numFmtId="0" fontId="11" fillId="20" borderId="5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20" borderId="0" xfId="0" applyFill="1"/>
    <xf numFmtId="0" fontId="38" fillId="0" borderId="0" xfId="0" applyFont="1" applyFill="1" applyAlignment="1">
      <alignment horizontal="center" vertical="center" wrapText="1"/>
    </xf>
    <xf numFmtId="0" fontId="39" fillId="0" borderId="0" xfId="0" applyFont="1" applyFill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21" fillId="23" borderId="0" xfId="0" applyFont="1" applyFill="1" applyAlignment="1">
      <alignment horizontal="center" vertical="center"/>
    </xf>
    <xf numFmtId="0" fontId="41" fillId="20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42" fillId="21" borderId="0" xfId="0" applyFont="1" applyFill="1" applyAlignment="1">
      <alignment vertical="center"/>
    </xf>
    <xf numFmtId="44" fontId="24" fillId="21" borderId="6" xfId="0" applyNumberFormat="1" applyFont="1" applyFill="1" applyBorder="1" applyAlignment="1">
      <alignment horizontal="center" vertical="center" wrapText="1"/>
    </xf>
    <xf numFmtId="0" fontId="2" fillId="21" borderId="0" xfId="0" applyFont="1" applyFill="1" applyAlignment="1">
      <alignment horizontal="center"/>
    </xf>
    <xf numFmtId="0" fontId="23" fillId="21" borderId="0" xfId="0" applyFont="1" applyFill="1" applyAlignment="1">
      <alignment horizontal="center" vertical="center" wrapText="1"/>
    </xf>
    <xf numFmtId="2" fontId="25" fillId="0" borderId="0" xfId="0" applyNumberFormat="1" applyFont="1" applyAlignment="1">
      <alignment horizontal="center"/>
    </xf>
    <xf numFmtId="0" fontId="21" fillId="25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16" borderId="0" xfId="0" applyFont="1" applyFill="1" applyAlignment="1">
      <alignment horizontal="center" vertical="center"/>
    </xf>
    <xf numFmtId="0" fontId="36" fillId="0" borderId="0" xfId="0" applyNumberFormat="1" applyFont="1" applyAlignment="1">
      <alignment horizontal="center"/>
    </xf>
    <xf numFmtId="14" fontId="36" fillId="0" borderId="0" xfId="0" applyNumberFormat="1" applyFont="1"/>
    <xf numFmtId="168" fontId="0" fillId="0" borderId="0" xfId="0" applyNumberFormat="1" applyAlignment="1">
      <alignment horizontal="center"/>
    </xf>
    <xf numFmtId="0" fontId="0" fillId="0" borderId="0" xfId="0" applyNumberFormat="1"/>
    <xf numFmtId="0" fontId="21" fillId="26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4" fillId="5" borderId="0" xfId="0" applyFont="1" applyFill="1" applyAlignment="1">
      <alignment horizontal="center" vertical="center" wrapText="1"/>
    </xf>
    <xf numFmtId="0" fontId="2" fillId="16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wrapText="1"/>
    </xf>
    <xf numFmtId="0" fontId="2" fillId="17" borderId="0" xfId="0" applyFont="1" applyFill="1" applyAlignment="1">
      <alignment horizontal="center"/>
    </xf>
    <xf numFmtId="0" fontId="2" fillId="1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/>
    </xf>
    <xf numFmtId="0" fontId="20" fillId="10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0" fontId="35" fillId="0" borderId="2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7" fillId="17" borderId="0" xfId="0" applyFont="1" applyFill="1" applyAlignment="1">
      <alignment horizontal="center" vertical="center" wrapText="1"/>
    </xf>
    <xf numFmtId="0" fontId="38" fillId="10" borderId="0" xfId="0" applyFont="1" applyFill="1" applyAlignment="1">
      <alignment horizontal="center" vertical="center" wrapText="1"/>
    </xf>
    <xf numFmtId="0" fontId="39" fillId="10" borderId="0" xfId="0" applyFont="1" applyFill="1" applyAlignment="1">
      <alignment horizontal="center" vertical="center" wrapText="1"/>
    </xf>
    <xf numFmtId="0" fontId="39" fillId="17" borderId="0" xfId="0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7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8" fillId="17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36" fillId="20" borderId="23" xfId="0" applyFont="1" applyFill="1" applyBorder="1" applyAlignment="1">
      <alignment horizontal="center" vertical="center" wrapText="1"/>
    </xf>
    <xf numFmtId="0" fontId="40" fillId="20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6" fontId="15" fillId="12" borderId="1" xfId="0" applyNumberFormat="1" applyFont="1" applyFill="1" applyBorder="1" applyAlignment="1">
      <alignment horizontal="center" vertical="center"/>
    </xf>
    <xf numFmtId="166" fontId="15" fillId="12" borderId="2" xfId="0" applyNumberFormat="1" applyFont="1" applyFill="1" applyBorder="1" applyAlignment="1">
      <alignment horizontal="center" vertical="center"/>
    </xf>
    <xf numFmtId="166" fontId="15" fillId="12" borderId="3" xfId="0" applyNumberFormat="1" applyFont="1" applyFill="1" applyBorder="1" applyAlignment="1">
      <alignment horizontal="center" vertical="center"/>
    </xf>
    <xf numFmtId="165" fontId="13" fillId="14" borderId="7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">
    <dxf>
      <font>
        <color theme="0"/>
      </font>
      <fill>
        <patternFill>
          <bgColor rgb="FF3F51B5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calendario-2020-excel-lunes-a-doming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o"/>
      <sheetName val="Mensual"/>
      <sheetName val="Mini"/>
      <sheetName val="Semanal"/>
      <sheetName val="Eventos"/>
      <sheetName val="Diari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U7"/>
  <sheetViews>
    <sheetView workbookViewId="0">
      <selection activeCell="K3" sqref="K3"/>
    </sheetView>
  </sheetViews>
  <sheetFormatPr baseColWidth="10" defaultRowHeight="15" x14ac:dyDescent="0.25"/>
  <cols>
    <col min="1" max="1" width="12.85546875" customWidth="1"/>
    <col min="2" max="2" width="5.85546875" customWidth="1"/>
    <col min="3" max="3" width="4.85546875" customWidth="1"/>
    <col min="4" max="4" width="9.85546875" customWidth="1"/>
    <col min="5" max="5" width="6.5703125" customWidth="1"/>
    <col min="6" max="6" width="7.85546875" customWidth="1"/>
    <col min="7" max="7" width="12.140625" customWidth="1"/>
    <col min="8" max="8" width="6.42578125" customWidth="1"/>
    <col min="9" max="9" width="10" customWidth="1"/>
    <col min="11" max="11" width="11.85546875" bestFit="1" customWidth="1"/>
    <col min="13" max="13" width="7.28515625" customWidth="1"/>
    <col min="14" max="15" width="9.7109375" customWidth="1"/>
    <col min="16" max="16" width="6.28515625" customWidth="1"/>
    <col min="17" max="17" width="8.5703125" customWidth="1"/>
    <col min="18" max="19" width="7.140625" customWidth="1"/>
    <col min="20" max="20" width="7.5703125" customWidth="1"/>
    <col min="21" max="21" width="10.7109375" style="14" customWidth="1"/>
  </cols>
  <sheetData>
    <row r="1" spans="1:21" ht="26.25" customHeight="1" x14ac:dyDescent="0.25">
      <c r="L1" s="209" t="s">
        <v>16</v>
      </c>
      <c r="M1" s="209"/>
      <c r="N1" s="8">
        <v>1056.46</v>
      </c>
      <c r="O1" s="8"/>
      <c r="R1" s="9"/>
      <c r="S1" s="9"/>
      <c r="U1" s="13"/>
    </row>
    <row r="2" spans="1:21" s="6" customFormat="1" ht="35.25" customHeight="1" x14ac:dyDescent="0.25">
      <c r="A2" s="5" t="s">
        <v>0</v>
      </c>
      <c r="B2" s="5" t="s">
        <v>15</v>
      </c>
      <c r="C2" s="5" t="s">
        <v>12</v>
      </c>
      <c r="D2" s="5" t="s">
        <v>3</v>
      </c>
      <c r="E2" s="5" t="s">
        <v>13</v>
      </c>
      <c r="F2" s="3" t="s">
        <v>4</v>
      </c>
      <c r="G2" s="4" t="s">
        <v>7</v>
      </c>
      <c r="H2" s="5" t="s">
        <v>14</v>
      </c>
      <c r="I2" s="7" t="s">
        <v>5</v>
      </c>
      <c r="J2" s="4" t="s">
        <v>8</v>
      </c>
      <c r="K2" s="3" t="s">
        <v>1</v>
      </c>
      <c r="L2" s="7" t="s">
        <v>6</v>
      </c>
      <c r="M2" s="10" t="s">
        <v>9</v>
      </c>
      <c r="N2" s="10" t="s">
        <v>17</v>
      </c>
      <c r="O2" s="10" t="s">
        <v>19</v>
      </c>
      <c r="P2" s="2" t="s">
        <v>10</v>
      </c>
      <c r="Q2" s="2" t="s">
        <v>20</v>
      </c>
      <c r="R2" s="11" t="s">
        <v>11</v>
      </c>
      <c r="S2" s="11" t="s">
        <v>18</v>
      </c>
      <c r="T2" s="2" t="s">
        <v>21</v>
      </c>
      <c r="U2" s="12" t="s">
        <v>2</v>
      </c>
    </row>
    <row r="3" spans="1:21" s="86" customFormat="1" x14ac:dyDescent="0.25">
      <c r="A3" s="88" t="s">
        <v>73</v>
      </c>
      <c r="B3" s="92">
        <v>1</v>
      </c>
      <c r="C3" s="92">
        <v>6</v>
      </c>
      <c r="D3" s="92">
        <v>3696.6</v>
      </c>
      <c r="E3" s="93">
        <v>0.25</v>
      </c>
      <c r="F3" s="89">
        <f t="shared" ref="F3:F6" si="0">E3*K3*C3</f>
        <v>184.82999999999998</v>
      </c>
      <c r="G3" s="89">
        <f t="shared" ref="G3:G6" si="1">F3/365</f>
        <v>0.50638356164383558</v>
      </c>
      <c r="H3" s="92">
        <v>15</v>
      </c>
      <c r="I3" s="92">
        <f t="shared" ref="I3:I6" si="2">K3*H3</f>
        <v>1848.3</v>
      </c>
      <c r="J3" s="92">
        <f t="shared" ref="J3:J6" si="3">I3/365</f>
        <v>5.0638356164383564</v>
      </c>
      <c r="K3" s="90">
        <f>D3/30</f>
        <v>123.22</v>
      </c>
      <c r="L3" s="92">
        <f t="shared" ref="L3:L6" si="4">K3+G3+J3</f>
        <v>128.7902191780822</v>
      </c>
      <c r="M3" s="93">
        <v>0.1</v>
      </c>
      <c r="N3" s="94">
        <f>M3*D3</f>
        <v>369.66</v>
      </c>
      <c r="O3" s="94">
        <f t="shared" ref="O3:O6" si="5">IF(N3&gt;1056.46,(N3-1056.46)/(30),0)</f>
        <v>0</v>
      </c>
      <c r="P3" s="91">
        <v>0.1</v>
      </c>
      <c r="Q3" s="94">
        <v>0</v>
      </c>
      <c r="R3" s="92"/>
      <c r="S3" s="92"/>
      <c r="T3" s="91">
        <f t="shared" ref="T3:T5" si="6">O3+Q3+S3</f>
        <v>0</v>
      </c>
      <c r="U3" s="95">
        <f t="shared" ref="U3:U6" si="7">L3+T3</f>
        <v>128.7902191780822</v>
      </c>
    </row>
    <row r="4" spans="1:21" s="87" customFormat="1" ht="25.5" x14ac:dyDescent="0.25">
      <c r="A4" s="88" t="s">
        <v>74</v>
      </c>
      <c r="B4" s="92">
        <v>1</v>
      </c>
      <c r="C4" s="92">
        <v>6</v>
      </c>
      <c r="D4" s="92">
        <v>4000</v>
      </c>
      <c r="E4" s="93">
        <v>0.25</v>
      </c>
      <c r="F4" s="89">
        <f t="shared" si="0"/>
        <v>200</v>
      </c>
      <c r="G4" s="89">
        <f t="shared" si="1"/>
        <v>0.54794520547945202</v>
      </c>
      <c r="H4" s="92">
        <v>15</v>
      </c>
      <c r="I4" s="92">
        <f t="shared" si="2"/>
        <v>2000.0000000000002</v>
      </c>
      <c r="J4" s="92">
        <f t="shared" si="3"/>
        <v>5.4794520547945211</v>
      </c>
      <c r="K4" s="90">
        <f t="shared" ref="K4:K5" si="8">D4/30</f>
        <v>133.33333333333334</v>
      </c>
      <c r="L4" s="92">
        <f t="shared" si="4"/>
        <v>139.36073059360734</v>
      </c>
      <c r="M4" s="93">
        <v>0.1</v>
      </c>
      <c r="N4" s="94">
        <f t="shared" ref="N4:N6" si="9">M4*D4</f>
        <v>400</v>
      </c>
      <c r="O4" s="94">
        <f t="shared" si="5"/>
        <v>0</v>
      </c>
      <c r="P4" s="91">
        <v>0.1</v>
      </c>
      <c r="Q4" s="94">
        <v>0</v>
      </c>
      <c r="R4" s="92"/>
      <c r="S4" s="92"/>
      <c r="T4" s="91">
        <f t="shared" si="6"/>
        <v>0</v>
      </c>
      <c r="U4" s="95">
        <f t="shared" si="7"/>
        <v>139.36073059360734</v>
      </c>
    </row>
    <row r="5" spans="1:21" s="87" customFormat="1" ht="25.5" x14ac:dyDescent="0.25">
      <c r="A5" s="88" t="s">
        <v>75</v>
      </c>
      <c r="B5" s="92">
        <v>1</v>
      </c>
      <c r="C5" s="92">
        <v>6</v>
      </c>
      <c r="D5" s="92">
        <v>9000</v>
      </c>
      <c r="E5" s="93">
        <v>0.25</v>
      </c>
      <c r="F5" s="89">
        <f t="shared" si="0"/>
        <v>450</v>
      </c>
      <c r="G5" s="89">
        <f t="shared" si="1"/>
        <v>1.2328767123287672</v>
      </c>
      <c r="H5" s="92">
        <v>15</v>
      </c>
      <c r="I5" s="92">
        <f t="shared" si="2"/>
        <v>4500</v>
      </c>
      <c r="J5" s="92">
        <f t="shared" si="3"/>
        <v>12.328767123287671</v>
      </c>
      <c r="K5" s="90">
        <f t="shared" si="8"/>
        <v>300</v>
      </c>
      <c r="L5" s="92">
        <f t="shared" si="4"/>
        <v>313.56164383561645</v>
      </c>
      <c r="M5" s="93">
        <v>0.1</v>
      </c>
      <c r="N5" s="94">
        <f t="shared" si="9"/>
        <v>900</v>
      </c>
      <c r="O5" s="94">
        <f>IF(N5&gt;1056.46,(N5-1056.46)/(30),0)</f>
        <v>0</v>
      </c>
      <c r="P5" s="91">
        <v>0.1</v>
      </c>
      <c r="Q5" s="94">
        <v>0</v>
      </c>
      <c r="R5" s="92"/>
      <c r="S5" s="92"/>
      <c r="T5" s="91">
        <f t="shared" si="6"/>
        <v>0</v>
      </c>
      <c r="U5" s="95">
        <f t="shared" si="7"/>
        <v>313.56164383561645</v>
      </c>
    </row>
    <row r="6" spans="1:21" s="87" customFormat="1" ht="25.5" x14ac:dyDescent="0.25">
      <c r="A6" s="88" t="s">
        <v>76</v>
      </c>
      <c r="B6" s="92">
        <v>1</v>
      </c>
      <c r="C6" s="92">
        <v>6</v>
      </c>
      <c r="D6" s="92">
        <v>24000</v>
      </c>
      <c r="E6" s="93">
        <v>0.25</v>
      </c>
      <c r="F6" s="89">
        <f t="shared" si="0"/>
        <v>1200</v>
      </c>
      <c r="G6" s="89">
        <f t="shared" si="1"/>
        <v>3.2876712328767121</v>
      </c>
      <c r="H6" s="92">
        <v>15</v>
      </c>
      <c r="I6" s="92">
        <f t="shared" si="2"/>
        <v>12000</v>
      </c>
      <c r="J6" s="92">
        <f t="shared" si="3"/>
        <v>32.876712328767127</v>
      </c>
      <c r="K6" s="90">
        <f>D6/30</f>
        <v>800</v>
      </c>
      <c r="L6" s="92">
        <f t="shared" si="4"/>
        <v>836.16438356164383</v>
      </c>
      <c r="M6" s="93">
        <v>0.1</v>
      </c>
      <c r="N6" s="94">
        <f t="shared" si="9"/>
        <v>2400</v>
      </c>
      <c r="O6" s="94">
        <f t="shared" si="5"/>
        <v>44.784666666666666</v>
      </c>
      <c r="P6" s="91">
        <v>0.1</v>
      </c>
      <c r="Q6" s="94">
        <v>0</v>
      </c>
      <c r="R6" s="92"/>
      <c r="S6" s="92"/>
      <c r="T6" s="91">
        <f>O6+Q6+S6</f>
        <v>44.784666666666666</v>
      </c>
      <c r="U6" s="95">
        <f t="shared" si="7"/>
        <v>880.94905022831051</v>
      </c>
    </row>
    <row r="7" spans="1:21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96">
        <f>U3+U4+U5+U6</f>
        <v>1462.6616438356164</v>
      </c>
    </row>
  </sheetData>
  <mergeCells count="1">
    <mergeCell ref="L1:M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CFF"/>
  </sheetPr>
  <dimension ref="A1:V11"/>
  <sheetViews>
    <sheetView workbookViewId="0">
      <pane xSplit="1" ySplit="3" topLeftCell="J4" activePane="bottomRight" state="frozen"/>
      <selection pane="topRight" activeCell="B1" sqref="B1"/>
      <selection pane="bottomLeft" activeCell="A4" sqref="A4"/>
      <selection pane="bottomRight" activeCell="Y4" sqref="Y4"/>
    </sheetView>
  </sheetViews>
  <sheetFormatPr baseColWidth="10" defaultRowHeight="15" x14ac:dyDescent="0.25"/>
  <cols>
    <col min="2" max="2" width="8.5703125" customWidth="1"/>
    <col min="8" max="8" width="8.28515625" customWidth="1"/>
    <col min="9" max="9" width="6.42578125" customWidth="1"/>
    <col min="10" max="10" width="7.28515625" customWidth="1"/>
    <col min="17" max="17" width="8.140625" customWidth="1"/>
    <col min="18" max="18" width="7.7109375" customWidth="1"/>
  </cols>
  <sheetData>
    <row r="1" spans="1:22" ht="21" customHeight="1" x14ac:dyDescent="0.25">
      <c r="D1" s="62" t="s">
        <v>71</v>
      </c>
      <c r="E1" s="62">
        <v>434.4</v>
      </c>
      <c r="F1" s="62"/>
      <c r="I1" s="210" t="s">
        <v>72</v>
      </c>
      <c r="J1" s="210"/>
      <c r="K1" s="63">
        <v>86.88</v>
      </c>
      <c r="L1" s="63"/>
      <c r="M1" s="70" t="s">
        <v>89</v>
      </c>
      <c r="N1" s="65">
        <v>86.88</v>
      </c>
      <c r="O1" s="65">
        <f>N1*30.4</f>
        <v>2641.1519999999996</v>
      </c>
    </row>
    <row r="2" spans="1:22" ht="30" customHeight="1" x14ac:dyDescent="0.25">
      <c r="C2" s="212" t="s">
        <v>86</v>
      </c>
      <c r="D2" s="212"/>
      <c r="E2" s="212"/>
      <c r="F2" s="212"/>
      <c r="G2" s="212"/>
      <c r="H2" s="213" t="s">
        <v>87</v>
      </c>
      <c r="I2" s="213"/>
      <c r="J2" s="213"/>
      <c r="K2" s="213"/>
      <c r="L2" s="213"/>
      <c r="M2" s="214" t="s">
        <v>88</v>
      </c>
      <c r="N2" s="214"/>
      <c r="O2" s="214"/>
      <c r="P2" s="214"/>
      <c r="Q2" s="211" t="s">
        <v>101</v>
      </c>
      <c r="R2" s="211"/>
      <c r="S2" s="211"/>
      <c r="T2" s="211"/>
    </row>
    <row r="3" spans="1:22" s="59" customFormat="1" ht="30" x14ac:dyDescent="0.25">
      <c r="A3" s="65" t="s">
        <v>26</v>
      </c>
      <c r="B3" s="65" t="s">
        <v>1</v>
      </c>
      <c r="C3" s="61" t="s">
        <v>69</v>
      </c>
      <c r="D3" s="60" t="s">
        <v>70</v>
      </c>
      <c r="E3" s="60" t="s">
        <v>99</v>
      </c>
      <c r="F3" s="60" t="s">
        <v>98</v>
      </c>
      <c r="G3" s="60" t="s">
        <v>97</v>
      </c>
      <c r="H3" s="56" t="s">
        <v>93</v>
      </c>
      <c r="I3" s="56" t="s">
        <v>51</v>
      </c>
      <c r="J3" s="56" t="s">
        <v>94</v>
      </c>
      <c r="K3" s="56" t="s">
        <v>95</v>
      </c>
      <c r="L3" s="56" t="s">
        <v>96</v>
      </c>
      <c r="M3" s="65" t="s">
        <v>90</v>
      </c>
      <c r="N3" s="65" t="s">
        <v>100</v>
      </c>
      <c r="O3" s="65" t="s">
        <v>91</v>
      </c>
      <c r="P3" s="65" t="s">
        <v>92</v>
      </c>
      <c r="Q3" s="66" t="s">
        <v>116</v>
      </c>
      <c r="R3" s="66" t="s">
        <v>65</v>
      </c>
      <c r="S3" s="66" t="s">
        <v>96</v>
      </c>
      <c r="T3" s="66" t="s">
        <v>99</v>
      </c>
      <c r="U3" s="65" t="s">
        <v>102</v>
      </c>
      <c r="V3" s="72" t="s">
        <v>103</v>
      </c>
    </row>
    <row r="4" spans="1:22" s="15" customFormat="1" x14ac:dyDescent="0.25">
      <c r="A4" s="15" t="s">
        <v>83</v>
      </c>
      <c r="B4" s="15">
        <v>123.22</v>
      </c>
      <c r="C4" s="15">
        <v>0</v>
      </c>
      <c r="D4" s="15">
        <f t="shared" ref="D4:D7" si="0">B4*C4*2</f>
        <v>0</v>
      </c>
      <c r="E4" s="15">
        <v>0</v>
      </c>
      <c r="F4" s="15">
        <f t="shared" ref="F4:F7" si="1">E4*C4</f>
        <v>0</v>
      </c>
      <c r="G4" s="15">
        <f t="shared" ref="G4:G7" si="2">D4-F4</f>
        <v>0</v>
      </c>
      <c r="H4" s="15">
        <f t="shared" ref="H4:H7" si="3">B4*0.25</f>
        <v>30.805</v>
      </c>
      <c r="I4" s="15">
        <v>2</v>
      </c>
      <c r="J4" s="15">
        <f t="shared" ref="J4:J7" si="4">H4*I4</f>
        <v>61.61</v>
      </c>
      <c r="K4" s="15">
        <f t="shared" ref="K4:K7" si="5">IF(H4&gt;86.88,86.88*I4,H4*I4)</f>
        <v>61.61</v>
      </c>
      <c r="L4" s="15">
        <f t="shared" ref="L4:L7" si="6">J4-K4</f>
        <v>0</v>
      </c>
      <c r="M4" s="53">
        <v>0.1</v>
      </c>
      <c r="N4" s="15">
        <f>B4*30*M4</f>
        <v>369.66</v>
      </c>
      <c r="O4" s="15">
        <f>IF(N4&gt;2641.152,2641.152,0)</f>
        <v>0</v>
      </c>
      <c r="P4" s="15">
        <f>O4</f>
        <v>0</v>
      </c>
      <c r="Q4" s="67">
        <f>B4*15</f>
        <v>1848.3</v>
      </c>
      <c r="R4" s="68">
        <v>0</v>
      </c>
      <c r="S4" s="67">
        <f>Q4-R4*B4</f>
        <v>1848.3</v>
      </c>
      <c r="T4" s="67">
        <f>R4*B4</f>
        <v>0</v>
      </c>
      <c r="U4" s="15">
        <v>2000</v>
      </c>
      <c r="V4" s="73">
        <f>G4+L4+P4+S4+U4</f>
        <v>3848.3</v>
      </c>
    </row>
    <row r="5" spans="1:22" s="15" customFormat="1" x14ac:dyDescent="0.25">
      <c r="A5" s="15" t="s">
        <v>77</v>
      </c>
      <c r="B5" s="15">
        <v>133.33000000000001</v>
      </c>
      <c r="C5" s="15">
        <v>0</v>
      </c>
      <c r="D5" s="15">
        <f t="shared" si="0"/>
        <v>0</v>
      </c>
      <c r="E5" s="15">
        <v>0</v>
      </c>
      <c r="F5" s="15">
        <f t="shared" si="1"/>
        <v>0</v>
      </c>
      <c r="G5" s="15">
        <f t="shared" si="2"/>
        <v>0</v>
      </c>
      <c r="H5" s="15">
        <f t="shared" si="3"/>
        <v>33.332500000000003</v>
      </c>
      <c r="I5" s="15">
        <v>2</v>
      </c>
      <c r="J5" s="15">
        <f t="shared" si="4"/>
        <v>66.665000000000006</v>
      </c>
      <c r="K5" s="15">
        <f t="shared" si="5"/>
        <v>66.665000000000006</v>
      </c>
      <c r="L5" s="15">
        <f t="shared" si="6"/>
        <v>0</v>
      </c>
      <c r="M5" s="53">
        <v>0.1</v>
      </c>
      <c r="N5" s="15">
        <f>B5*30*M5</f>
        <v>399.99000000000007</v>
      </c>
      <c r="O5" s="15">
        <f t="shared" ref="O5:O7" si="7">IF(N5&gt;2641.152,2641.152,0)</f>
        <v>0</v>
      </c>
      <c r="P5" s="15">
        <f t="shared" ref="P5:P7" si="8">O5</f>
        <v>0</v>
      </c>
      <c r="Q5" s="67">
        <f t="shared" ref="Q5:Q7" si="9">B5*15</f>
        <v>1999.9500000000003</v>
      </c>
      <c r="R5" s="68">
        <v>0</v>
      </c>
      <c r="S5" s="67">
        <f>Q5-R5*B5</f>
        <v>1999.9500000000003</v>
      </c>
      <c r="T5" s="67">
        <f>R5*B5</f>
        <v>0</v>
      </c>
      <c r="U5" s="15">
        <v>0</v>
      </c>
      <c r="V5" s="73">
        <f t="shared" ref="V5:V6" si="10">G5+L5+P5+S5+U5</f>
        <v>1999.9500000000003</v>
      </c>
    </row>
    <row r="6" spans="1:22" s="15" customFormat="1" x14ac:dyDescent="0.25">
      <c r="A6" s="15" t="s">
        <v>84</v>
      </c>
      <c r="B6" s="15">
        <v>300</v>
      </c>
      <c r="C6" s="15">
        <v>0</v>
      </c>
      <c r="D6" s="15">
        <f>B6*C6*2</f>
        <v>0</v>
      </c>
      <c r="E6" s="15">
        <v>0</v>
      </c>
      <c r="F6" s="15">
        <f t="shared" si="1"/>
        <v>0</v>
      </c>
      <c r="G6" s="15">
        <f t="shared" si="2"/>
        <v>0</v>
      </c>
      <c r="H6" s="15">
        <f t="shared" si="3"/>
        <v>75</v>
      </c>
      <c r="I6" s="15">
        <v>2</v>
      </c>
      <c r="J6" s="15">
        <f t="shared" si="4"/>
        <v>150</v>
      </c>
      <c r="K6" s="15">
        <f t="shared" si="5"/>
        <v>150</v>
      </c>
      <c r="L6" s="15">
        <f t="shared" si="6"/>
        <v>0</v>
      </c>
      <c r="M6" s="53">
        <v>0.1</v>
      </c>
      <c r="N6" s="15">
        <f>B6*30*M6</f>
        <v>900</v>
      </c>
      <c r="O6" s="15">
        <f t="shared" si="7"/>
        <v>0</v>
      </c>
      <c r="P6" s="15">
        <f t="shared" si="8"/>
        <v>0</v>
      </c>
      <c r="Q6" s="67">
        <f t="shared" si="9"/>
        <v>4500</v>
      </c>
      <c r="R6" s="68">
        <v>2</v>
      </c>
      <c r="S6" s="67">
        <f>Q6-R6*B6</f>
        <v>3900</v>
      </c>
      <c r="T6" s="67">
        <f>R6*B6</f>
        <v>600</v>
      </c>
      <c r="U6" s="15">
        <v>0</v>
      </c>
      <c r="V6" s="73">
        <f t="shared" si="10"/>
        <v>3900</v>
      </c>
    </row>
    <row r="7" spans="1:22" s="15" customFormat="1" x14ac:dyDescent="0.25">
      <c r="A7" s="15" t="s">
        <v>85</v>
      </c>
      <c r="B7" s="15">
        <v>800</v>
      </c>
      <c r="C7" s="15">
        <v>0</v>
      </c>
      <c r="D7" s="15">
        <f t="shared" si="0"/>
        <v>0</v>
      </c>
      <c r="E7" s="15">
        <v>0</v>
      </c>
      <c r="F7" s="15">
        <f t="shared" si="1"/>
        <v>0</v>
      </c>
      <c r="G7" s="15">
        <f t="shared" si="2"/>
        <v>0</v>
      </c>
      <c r="H7" s="15">
        <f t="shared" si="3"/>
        <v>200</v>
      </c>
      <c r="I7" s="15">
        <v>2</v>
      </c>
      <c r="J7" s="15">
        <f t="shared" si="4"/>
        <v>400</v>
      </c>
      <c r="K7" s="15">
        <f t="shared" si="5"/>
        <v>173.76</v>
      </c>
      <c r="L7" s="15">
        <f t="shared" si="6"/>
        <v>226.24</v>
      </c>
      <c r="M7" s="53">
        <v>0.1</v>
      </c>
      <c r="N7" s="15">
        <f>B7*30*M7</f>
        <v>2400</v>
      </c>
      <c r="O7" s="15">
        <f t="shared" si="7"/>
        <v>0</v>
      </c>
      <c r="P7" s="15">
        <f t="shared" si="8"/>
        <v>0</v>
      </c>
      <c r="Q7" s="67">
        <f t="shared" si="9"/>
        <v>12000</v>
      </c>
      <c r="R7" s="68">
        <v>4</v>
      </c>
      <c r="S7" s="67">
        <f>Q7-R7*B7</f>
        <v>8800</v>
      </c>
      <c r="T7" s="67">
        <f>R7*B7</f>
        <v>3200</v>
      </c>
      <c r="U7" s="15">
        <v>0</v>
      </c>
      <c r="V7" s="73">
        <f>G7+L7+P7+S7+U7</f>
        <v>9026.24</v>
      </c>
    </row>
    <row r="8" spans="1:22" x14ac:dyDescent="0.25">
      <c r="B8" s="15"/>
      <c r="H8" s="15"/>
      <c r="I8" s="15"/>
      <c r="J8" s="15"/>
      <c r="K8" s="15"/>
      <c r="L8" s="15"/>
    </row>
    <row r="9" spans="1:22" x14ac:dyDescent="0.25">
      <c r="B9" s="15"/>
      <c r="H9" s="15"/>
      <c r="I9" s="15"/>
      <c r="J9" s="15"/>
      <c r="K9" s="15"/>
      <c r="L9" s="15"/>
    </row>
    <row r="10" spans="1:22" x14ac:dyDescent="0.25">
      <c r="B10" s="15"/>
      <c r="H10" s="15"/>
      <c r="I10" s="15"/>
      <c r="J10" s="15"/>
      <c r="K10" s="15"/>
      <c r="L10" s="15"/>
    </row>
    <row r="11" spans="1:22" x14ac:dyDescent="0.25">
      <c r="B11" s="15"/>
      <c r="H11" s="15"/>
      <c r="I11" s="15"/>
      <c r="J11" s="15"/>
      <c r="K11" s="15"/>
      <c r="L11" s="15"/>
    </row>
  </sheetData>
  <mergeCells count="5">
    <mergeCell ref="I1:J1"/>
    <mergeCell ref="Q2:T2"/>
    <mergeCell ref="C2:G2"/>
    <mergeCell ref="H2:L2"/>
    <mergeCell ref="M2:P2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CFF"/>
  </sheetPr>
  <dimension ref="A1:O31"/>
  <sheetViews>
    <sheetView workbookViewId="0">
      <selection activeCell="N3" sqref="N3"/>
    </sheetView>
  </sheetViews>
  <sheetFormatPr baseColWidth="10" defaultRowHeight="15" x14ac:dyDescent="0.25"/>
  <cols>
    <col min="6" max="6" width="16.42578125" customWidth="1"/>
    <col min="8" max="8" width="11.42578125" style="132"/>
    <col min="10" max="10" width="11.42578125" style="132"/>
    <col min="11" max="11" width="9.42578125" customWidth="1"/>
  </cols>
  <sheetData>
    <row r="1" spans="1:15" ht="43.5" customHeight="1" thickBot="1" x14ac:dyDescent="0.3">
      <c r="A1" s="150" t="s">
        <v>34</v>
      </c>
      <c r="B1" s="151" t="s">
        <v>35</v>
      </c>
      <c r="C1" s="151" t="s">
        <v>36</v>
      </c>
      <c r="D1" s="152" t="s">
        <v>132</v>
      </c>
      <c r="F1" s="156" t="s">
        <v>117</v>
      </c>
      <c r="G1" s="157" t="s">
        <v>118</v>
      </c>
      <c r="H1" s="157" t="s">
        <v>139</v>
      </c>
      <c r="I1" s="157" t="s">
        <v>125</v>
      </c>
      <c r="J1" s="157" t="s">
        <v>140</v>
      </c>
      <c r="K1" s="157" t="s">
        <v>119</v>
      </c>
      <c r="L1" s="157" t="s">
        <v>58</v>
      </c>
      <c r="M1" s="158" t="s">
        <v>109</v>
      </c>
      <c r="N1" s="158" t="s">
        <v>120</v>
      </c>
      <c r="O1" s="194" t="s">
        <v>58</v>
      </c>
    </row>
    <row r="2" spans="1:15" ht="16.5" thickBot="1" x14ac:dyDescent="0.3">
      <c r="A2" s="121">
        <v>0.01</v>
      </c>
      <c r="B2" s="122">
        <v>285.45</v>
      </c>
      <c r="C2" s="122">
        <v>0</v>
      </c>
      <c r="D2" s="123">
        <v>1.9199999999999998E-2</v>
      </c>
      <c r="F2" s="23" t="s">
        <v>121</v>
      </c>
      <c r="G2" s="78">
        <v>3848.3</v>
      </c>
      <c r="H2" s="78">
        <f>VLOOKUP(G2,ISRQ,1,9)</f>
        <v>2422.81</v>
      </c>
      <c r="I2" s="80">
        <f>G2-H2</f>
        <v>1425.4900000000002</v>
      </c>
      <c r="J2" s="80">
        <f>I2*VLOOKUP(G2,ISRQ,4,1)</f>
        <v>155.09331200000003</v>
      </c>
      <c r="K2" s="80">
        <f>+VLOOKUP(G2,ISRQ,3,1)</f>
        <v>142.19999999999999</v>
      </c>
      <c r="L2" s="79">
        <f>J2+K2</f>
        <v>297.29331200000001</v>
      </c>
      <c r="M2" s="164">
        <f>VLOOKUP(G2,SUBQ,3,1)</f>
        <v>0</v>
      </c>
      <c r="N2" s="80">
        <f>L2-M2</f>
        <v>297.29331200000001</v>
      </c>
    </row>
    <row r="3" spans="1:15" ht="16.5" thickBot="1" x14ac:dyDescent="0.3">
      <c r="A3" s="163">
        <v>285.45999999999998</v>
      </c>
      <c r="B3" s="160">
        <v>2422.8000000000002</v>
      </c>
      <c r="C3" s="161">
        <v>5.55</v>
      </c>
      <c r="D3" s="162">
        <v>6.4000000000000001E-2</v>
      </c>
      <c r="F3" s="23" t="s">
        <v>122</v>
      </c>
      <c r="G3" s="78">
        <v>1999.95</v>
      </c>
      <c r="H3" s="78">
        <f>VLOOKUP(G3,ISRQ,1,9)</f>
        <v>285.45999999999998</v>
      </c>
      <c r="I3" s="80">
        <f t="shared" ref="I3:I5" si="0">G3-H3</f>
        <v>1714.49</v>
      </c>
      <c r="J3" s="80">
        <f>I3*VLOOKUP(G3,ISRQ,4,1)</f>
        <v>109.72736</v>
      </c>
      <c r="K3" s="80">
        <f>+VLOOKUP(G3,ISRQ,3,1)</f>
        <v>5.55</v>
      </c>
      <c r="L3" s="79">
        <f t="shared" ref="L3:L5" si="1">J3+K3</f>
        <v>115.27736</v>
      </c>
      <c r="M3" s="164">
        <f>VLOOKUP(G3,SUBQ,3,1)</f>
        <v>188.7</v>
      </c>
      <c r="N3" s="80">
        <f t="shared" ref="N3:N4" si="2">L3-M3</f>
        <v>-73.422639999999987</v>
      </c>
    </row>
    <row r="4" spans="1:15" ht="16.5" thickBot="1" x14ac:dyDescent="0.3">
      <c r="A4" s="159">
        <v>2422.81</v>
      </c>
      <c r="B4" s="160">
        <v>4257.8999999999996</v>
      </c>
      <c r="C4" s="161">
        <v>142.19999999999999</v>
      </c>
      <c r="D4" s="162">
        <v>0.10880000000000001</v>
      </c>
      <c r="F4" s="23" t="s">
        <v>123</v>
      </c>
      <c r="G4" s="78">
        <v>3900</v>
      </c>
      <c r="H4" s="78">
        <f>VLOOKUP(G4,ISRQ,1,9)</f>
        <v>2422.81</v>
      </c>
      <c r="I4" s="80">
        <f t="shared" si="0"/>
        <v>1477.19</v>
      </c>
      <c r="J4" s="80">
        <f>I4*VLOOKUP(G4,ISRQ,4,1)</f>
        <v>160.71827200000001</v>
      </c>
      <c r="K4" s="80">
        <f>+VLOOKUP(G4,ISRQ,3,1)</f>
        <v>142.19999999999999</v>
      </c>
      <c r="L4" s="79">
        <f t="shared" si="1"/>
        <v>302.918272</v>
      </c>
      <c r="M4" s="164">
        <f>VLOOKUP(G4,SUBQ,3,1)</f>
        <v>0</v>
      </c>
      <c r="N4" s="80">
        <f t="shared" si="2"/>
        <v>302.918272</v>
      </c>
    </row>
    <row r="5" spans="1:15" ht="16.5" thickBot="1" x14ac:dyDescent="0.3">
      <c r="A5" s="127">
        <v>4257.91</v>
      </c>
      <c r="B5" s="128">
        <v>4949.55</v>
      </c>
      <c r="C5" s="124">
        <v>341.85</v>
      </c>
      <c r="D5" s="123">
        <v>0.16</v>
      </c>
      <c r="F5" s="23" t="s">
        <v>124</v>
      </c>
      <c r="G5" s="78">
        <v>9026.24</v>
      </c>
      <c r="H5" s="78">
        <f>VLOOKUP(G5,ISRQ,1,9)</f>
        <v>5925.91</v>
      </c>
      <c r="I5" s="80">
        <f t="shared" si="0"/>
        <v>3100.33</v>
      </c>
      <c r="J5" s="80">
        <f>I5*VLOOKUP(G5,ISRQ,4,1)</f>
        <v>662.23048799999992</v>
      </c>
      <c r="K5" s="80">
        <f>+VLOOKUP(G5,ISRQ,3,1)</f>
        <v>627.6</v>
      </c>
      <c r="L5" s="79">
        <f t="shared" si="1"/>
        <v>1289.8304880000001</v>
      </c>
      <c r="M5" s="164">
        <f>VLOOKUP(G5,SUBQ,3,1)</f>
        <v>0</v>
      </c>
      <c r="N5" s="80">
        <f t="shared" ref="N5" si="3">L5-M5</f>
        <v>1289.8304880000001</v>
      </c>
    </row>
    <row r="6" spans="1:15" ht="15.75" thickBot="1" x14ac:dyDescent="0.3">
      <c r="A6" s="129">
        <v>4949.5600000000004</v>
      </c>
      <c r="B6" s="126">
        <v>5925.9</v>
      </c>
      <c r="C6" s="122">
        <v>452.55</v>
      </c>
      <c r="D6" s="123">
        <v>0.17920000000000003</v>
      </c>
    </row>
    <row r="7" spans="1:15" ht="16.5" thickBot="1" x14ac:dyDescent="0.3">
      <c r="A7" s="159">
        <v>5925.91</v>
      </c>
      <c r="B7" s="160">
        <v>11951.85</v>
      </c>
      <c r="C7" s="161">
        <v>627.6</v>
      </c>
      <c r="D7" s="162">
        <v>0.21359999999999998</v>
      </c>
      <c r="L7" s="79"/>
      <c r="M7" s="79"/>
      <c r="N7" s="79">
        <f t="shared" ref="N7" si="4">N2+N5+N4+N3</f>
        <v>1816.6194320000002</v>
      </c>
    </row>
    <row r="8" spans="1:15" ht="15.75" thickBot="1" x14ac:dyDescent="0.3">
      <c r="A8" s="129">
        <v>11951.86</v>
      </c>
      <c r="B8" s="126">
        <v>18837.75</v>
      </c>
      <c r="C8" s="126">
        <v>1914.75</v>
      </c>
      <c r="D8" s="123">
        <v>0.23519999999999999</v>
      </c>
    </row>
    <row r="9" spans="1:15" ht="15.75" thickBot="1" x14ac:dyDescent="0.3">
      <c r="A9" s="127">
        <v>18837.759999999998</v>
      </c>
      <c r="B9" s="128">
        <v>35964.300000000003</v>
      </c>
      <c r="C9" s="128">
        <v>3534.3</v>
      </c>
      <c r="D9" s="123">
        <v>0.3</v>
      </c>
    </row>
    <row r="10" spans="1:15" ht="15.75" thickBot="1" x14ac:dyDescent="0.3">
      <c r="A10" s="129">
        <v>35964.31</v>
      </c>
      <c r="B10" s="126">
        <v>47952.3</v>
      </c>
      <c r="C10" s="126">
        <v>8672.25</v>
      </c>
      <c r="D10" s="123">
        <v>0.32</v>
      </c>
    </row>
    <row r="11" spans="1:15" ht="15.75" thickBot="1" x14ac:dyDescent="0.3">
      <c r="A11" s="127">
        <v>47952.31</v>
      </c>
      <c r="B11" s="125">
        <v>143856.9</v>
      </c>
      <c r="C11" s="128">
        <v>12508.35</v>
      </c>
      <c r="D11" s="123">
        <v>0.34</v>
      </c>
    </row>
    <row r="12" spans="1:15" ht="15.75" thickBot="1" x14ac:dyDescent="0.3">
      <c r="A12" s="129">
        <v>143856.91</v>
      </c>
      <c r="B12" s="122" t="s">
        <v>37</v>
      </c>
      <c r="C12" s="126">
        <v>45115.95</v>
      </c>
      <c r="D12" s="123">
        <v>0.35</v>
      </c>
    </row>
    <row r="13" spans="1:15" x14ac:dyDescent="0.25">
      <c r="A13" s="120"/>
      <c r="B13" s="120"/>
      <c r="C13" s="120"/>
      <c r="D13" s="119"/>
    </row>
    <row r="14" spans="1:15" ht="15.75" thickBot="1" x14ac:dyDescent="0.3">
      <c r="A14" s="118"/>
      <c r="B14" s="118"/>
      <c r="C14" s="118"/>
      <c r="D14" s="1"/>
    </row>
    <row r="15" spans="1:15" ht="64.5" thickBot="1" x14ac:dyDescent="0.3">
      <c r="A15" s="153" t="s">
        <v>136</v>
      </c>
      <c r="B15" s="154" t="s">
        <v>137</v>
      </c>
      <c r="C15" s="155" t="s">
        <v>138</v>
      </c>
      <c r="D15" s="1"/>
    </row>
    <row r="16" spans="1:15" ht="15.75" thickBot="1" x14ac:dyDescent="0.3">
      <c r="A16" s="133">
        <v>0.01</v>
      </c>
      <c r="B16" s="134">
        <v>872.85</v>
      </c>
      <c r="C16" s="137">
        <v>200.85</v>
      </c>
      <c r="D16" s="1"/>
    </row>
    <row r="17" spans="1:4" ht="15.75" thickBot="1" x14ac:dyDescent="0.3">
      <c r="A17" s="135">
        <v>872.86</v>
      </c>
      <c r="B17" s="139">
        <v>1309.2</v>
      </c>
      <c r="C17" s="140">
        <v>200.7</v>
      </c>
      <c r="D17" s="1"/>
    </row>
    <row r="18" spans="1:4" ht="15.75" thickBot="1" x14ac:dyDescent="0.3">
      <c r="A18" s="141">
        <v>1309.21</v>
      </c>
      <c r="B18" s="136">
        <v>1713.6</v>
      </c>
      <c r="C18" s="137">
        <v>200.7</v>
      </c>
      <c r="D18" s="1"/>
    </row>
    <row r="19" spans="1:4" ht="15.75" thickBot="1" x14ac:dyDescent="0.3">
      <c r="A19" s="138">
        <v>1713.61</v>
      </c>
      <c r="B19" s="139">
        <v>1745.7</v>
      </c>
      <c r="C19" s="140">
        <v>193.8</v>
      </c>
      <c r="D19" s="1"/>
    </row>
    <row r="20" spans="1:4" ht="15.75" thickBot="1" x14ac:dyDescent="0.3">
      <c r="A20" s="141">
        <v>1745.71</v>
      </c>
      <c r="B20" s="136">
        <v>2193.75</v>
      </c>
      <c r="C20" s="137">
        <v>188.7</v>
      </c>
      <c r="D20" s="1"/>
    </row>
    <row r="21" spans="1:4" ht="15.75" thickBot="1" x14ac:dyDescent="0.3">
      <c r="A21" s="138">
        <v>2193.7600000000002</v>
      </c>
      <c r="B21" s="139">
        <v>2327.5500000000002</v>
      </c>
      <c r="C21" s="140">
        <v>174.75</v>
      </c>
      <c r="D21" s="1"/>
    </row>
    <row r="22" spans="1:4" ht="15.75" thickBot="1" x14ac:dyDescent="0.3">
      <c r="A22" s="141">
        <v>2327.56</v>
      </c>
      <c r="B22" s="136">
        <v>2632.65</v>
      </c>
      <c r="C22" s="137">
        <v>160.35</v>
      </c>
      <c r="D22" s="1"/>
    </row>
    <row r="23" spans="1:4" ht="15.75" thickBot="1" x14ac:dyDescent="0.3">
      <c r="A23" s="138">
        <v>2632.66</v>
      </c>
      <c r="B23" s="139">
        <v>3071.4</v>
      </c>
      <c r="C23" s="140">
        <v>145.35</v>
      </c>
      <c r="D23" s="1"/>
    </row>
    <row r="24" spans="1:4" ht="15.75" thickBot="1" x14ac:dyDescent="0.3">
      <c r="A24" s="141">
        <v>3071.41</v>
      </c>
      <c r="B24" s="136">
        <v>3510.15</v>
      </c>
      <c r="C24" s="137">
        <v>125.1</v>
      </c>
      <c r="D24" s="1"/>
    </row>
    <row r="25" spans="1:4" ht="15.75" thickBot="1" x14ac:dyDescent="0.3">
      <c r="A25" s="138">
        <v>3510.16</v>
      </c>
      <c r="B25" s="139">
        <v>3642.6</v>
      </c>
      <c r="C25" s="140">
        <v>107.4</v>
      </c>
      <c r="D25" s="1"/>
    </row>
    <row r="26" spans="1:4" ht="15.75" thickBot="1" x14ac:dyDescent="0.3">
      <c r="A26" s="141">
        <v>3642.61</v>
      </c>
      <c r="B26" s="134" t="s">
        <v>37</v>
      </c>
      <c r="C26" s="137">
        <v>0</v>
      </c>
      <c r="D26" s="1"/>
    </row>
    <row r="27" spans="1:4" x14ac:dyDescent="0.25">
      <c r="A27" s="131"/>
      <c r="B27" s="130"/>
      <c r="C27" s="130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AF15"/>
  <sheetViews>
    <sheetView zoomScale="87" zoomScaleNormal="87" workbookViewId="0">
      <pane xSplit="2" ySplit="3" topLeftCell="AI4" activePane="bottomRight" state="frozen"/>
      <selection pane="topRight" activeCell="B1" sqref="B1"/>
      <selection pane="bottomLeft" activeCell="A4" sqref="A4"/>
      <selection pane="bottomRight" activeCell="B17" sqref="B17"/>
    </sheetView>
  </sheetViews>
  <sheetFormatPr baseColWidth="10" defaultRowHeight="15" x14ac:dyDescent="0.25"/>
  <cols>
    <col min="3" max="3" width="7" customWidth="1"/>
    <col min="4" max="4" width="10.28515625" customWidth="1"/>
    <col min="5" max="5" width="7.28515625" customWidth="1"/>
    <col min="10" max="10" width="10.5703125" customWidth="1"/>
    <col min="13" max="13" width="5.85546875" customWidth="1"/>
    <col min="14" max="15" width="8.5703125" customWidth="1"/>
    <col min="16" max="16" width="7.5703125" customWidth="1"/>
    <col min="17" max="17" width="9.28515625" customWidth="1"/>
    <col min="18" max="18" width="9.28515625" style="132" customWidth="1"/>
    <col min="21" max="23" width="9.5703125" customWidth="1"/>
    <col min="25" max="25" width="5.85546875" customWidth="1"/>
    <col min="26" max="26" width="10" customWidth="1"/>
    <col min="27" max="27" width="6.5703125" customWidth="1"/>
  </cols>
  <sheetData>
    <row r="1" spans="1:32" ht="23.25" x14ac:dyDescent="0.35">
      <c r="A1" s="77"/>
      <c r="B1" s="50"/>
      <c r="C1" s="50"/>
      <c r="D1" s="216" t="s">
        <v>46</v>
      </c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</row>
    <row r="2" spans="1:32" x14ac:dyDescent="0.25">
      <c r="C2" s="215" t="s">
        <v>56</v>
      </c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3" t="s">
        <v>81</v>
      </c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195" t="s">
        <v>183</v>
      </c>
    </row>
    <row r="3" spans="1:32" s="55" customFormat="1" ht="45" x14ac:dyDescent="0.25">
      <c r="A3" s="76" t="s">
        <v>114</v>
      </c>
      <c r="B3" s="51" t="s">
        <v>26</v>
      </c>
      <c r="C3" s="51" t="s">
        <v>41</v>
      </c>
      <c r="D3" s="51" t="s">
        <v>42</v>
      </c>
      <c r="E3" s="52" t="s">
        <v>51</v>
      </c>
      <c r="F3" s="51" t="s">
        <v>44</v>
      </c>
      <c r="G3" s="51" t="s">
        <v>43</v>
      </c>
      <c r="H3" s="51" t="s">
        <v>45</v>
      </c>
      <c r="I3" s="51" t="s">
        <v>80</v>
      </c>
      <c r="J3" s="51" t="s">
        <v>47</v>
      </c>
      <c r="K3" s="51" t="s">
        <v>49</v>
      </c>
      <c r="L3" s="51" t="s">
        <v>48</v>
      </c>
      <c r="M3" s="51" t="s">
        <v>50</v>
      </c>
      <c r="N3" s="51" t="s">
        <v>54</v>
      </c>
      <c r="O3" s="51" t="s">
        <v>115</v>
      </c>
      <c r="P3" s="54" t="s">
        <v>52</v>
      </c>
      <c r="Q3" s="51" t="s">
        <v>53</v>
      </c>
      <c r="R3" s="51" t="s">
        <v>109</v>
      </c>
      <c r="S3" s="54" t="s">
        <v>55</v>
      </c>
      <c r="T3" s="56" t="s">
        <v>57</v>
      </c>
      <c r="U3" s="56" t="s">
        <v>67</v>
      </c>
      <c r="V3" s="56" t="s">
        <v>68</v>
      </c>
      <c r="W3" s="56" t="s">
        <v>66</v>
      </c>
      <c r="X3" s="56" t="s">
        <v>58</v>
      </c>
      <c r="Y3" s="56" t="s">
        <v>64</v>
      </c>
      <c r="Z3" s="58" t="s">
        <v>59</v>
      </c>
      <c r="AA3" s="58" t="s">
        <v>65</v>
      </c>
      <c r="AB3" s="58" t="s">
        <v>60</v>
      </c>
      <c r="AC3" s="56" t="s">
        <v>61</v>
      </c>
      <c r="AD3" s="56" t="s">
        <v>62</v>
      </c>
      <c r="AE3" s="57" t="s">
        <v>63</v>
      </c>
      <c r="AF3" s="196" t="s">
        <v>182</v>
      </c>
    </row>
    <row r="4" spans="1:32" s="15" customFormat="1" x14ac:dyDescent="0.25">
      <c r="B4" s="15" t="s">
        <v>33</v>
      </c>
      <c r="C4" s="15">
        <v>400</v>
      </c>
      <c r="D4" s="15">
        <f>C4*15</f>
        <v>6000</v>
      </c>
      <c r="E4" s="15">
        <v>14</v>
      </c>
      <c r="F4" s="15">
        <v>4</v>
      </c>
      <c r="G4" s="15">
        <f>C4*F4</f>
        <v>1600</v>
      </c>
      <c r="H4" s="15">
        <f>C4*2</f>
        <v>800</v>
      </c>
      <c r="I4" s="15">
        <v>1</v>
      </c>
      <c r="J4" s="15">
        <f>C4*2</f>
        <v>800</v>
      </c>
      <c r="K4" s="15">
        <v>1</v>
      </c>
      <c r="L4" s="15">
        <f>C4*K4*0.25</f>
        <v>100</v>
      </c>
      <c r="M4" s="53">
        <v>0.12</v>
      </c>
      <c r="N4" s="15">
        <f>D4*M4+G4*M4</f>
        <v>912</v>
      </c>
      <c r="P4" s="53">
        <v>0.15</v>
      </c>
      <c r="Q4" s="15">
        <f>D4*P4*2+G4*P4</f>
        <v>2040</v>
      </c>
      <c r="R4" s="84"/>
      <c r="S4" s="15">
        <f>D4+G4+H4+J4+L4+N4</f>
        <v>10212</v>
      </c>
      <c r="U4" s="15">
        <v>1019.673</v>
      </c>
      <c r="V4" s="15">
        <f>U4/15*E4</f>
        <v>951.69479999999999</v>
      </c>
      <c r="W4" s="15">
        <f>U4/15*F4</f>
        <v>271.9128</v>
      </c>
      <c r="Y4" s="53">
        <v>0.1</v>
      </c>
      <c r="Z4" s="15">
        <f>D4*Y4</f>
        <v>600</v>
      </c>
      <c r="AA4" s="15">
        <v>1</v>
      </c>
      <c r="AB4" s="15">
        <f>AA4*C4</f>
        <v>400</v>
      </c>
      <c r="AD4" s="15">
        <v>600</v>
      </c>
      <c r="AE4" s="15">
        <f>U4+T4+X4+Z4+AB4+W4</f>
        <v>2291.5857999999998</v>
      </c>
      <c r="AF4" s="85"/>
    </row>
    <row r="5" spans="1:32" s="15" customFormat="1" x14ac:dyDescent="0.25">
      <c r="A5" s="75">
        <v>44105</v>
      </c>
      <c r="B5" s="15" t="s">
        <v>73</v>
      </c>
      <c r="C5" s="15">
        <v>123.22</v>
      </c>
      <c r="D5" s="15">
        <f t="shared" ref="D5:D8" si="0">C5*15</f>
        <v>1848.3</v>
      </c>
      <c r="E5" s="15">
        <v>15</v>
      </c>
      <c r="F5" s="15">
        <v>0</v>
      </c>
      <c r="G5" s="15">
        <f t="shared" ref="G5:G8" si="1">C5*F5</f>
        <v>0</v>
      </c>
      <c r="H5" s="15">
        <v>0</v>
      </c>
      <c r="I5" s="15">
        <v>0</v>
      </c>
      <c r="J5" s="15">
        <f>C5*2*I5</f>
        <v>0</v>
      </c>
      <c r="K5" s="15">
        <v>2</v>
      </c>
      <c r="L5" s="15">
        <f t="shared" ref="L5:L8" si="2">C5*K5*0.25</f>
        <v>61.61</v>
      </c>
      <c r="M5" s="15">
        <v>0</v>
      </c>
      <c r="N5" s="15">
        <v>0</v>
      </c>
      <c r="O5" s="15">
        <v>2000</v>
      </c>
      <c r="P5" s="53">
        <v>0.1</v>
      </c>
      <c r="Q5" s="15">
        <v>0</v>
      </c>
      <c r="R5" s="84">
        <v>0</v>
      </c>
      <c r="S5" s="15">
        <f>D5+G5+H5+J5+L5+N5+O5+Q12+R5</f>
        <v>3909.91</v>
      </c>
      <c r="T5" s="15">
        <v>24.167763698630132</v>
      </c>
      <c r="U5">
        <v>289.78807499999999</v>
      </c>
      <c r="V5" s="15">
        <f t="shared" ref="V5:V8" si="3">U5/15*E5</f>
        <v>289.78807499999999</v>
      </c>
      <c r="W5" s="15">
        <f t="shared" ref="W5:W8" si="4">U5/15*F5</f>
        <v>0</v>
      </c>
      <c r="X5" s="80">
        <v>297.29331200000001</v>
      </c>
      <c r="Y5" s="53">
        <v>0.1</v>
      </c>
      <c r="Z5" s="15">
        <f>D5*Y5</f>
        <v>184.83</v>
      </c>
      <c r="AA5" s="15">
        <v>0</v>
      </c>
      <c r="AB5" s="15">
        <f>AA5*C5</f>
        <v>0</v>
      </c>
      <c r="AC5" s="15">
        <v>21.75098732876712</v>
      </c>
      <c r="AD5" s="15">
        <v>184.98</v>
      </c>
      <c r="AE5" s="53">
        <f>T5+V5+X5+Z5+AB5+W5+AC5</f>
        <v>817.83013802739731</v>
      </c>
      <c r="AF5" s="197">
        <f>S5-AE5</f>
        <v>3092.0798619726024</v>
      </c>
    </row>
    <row r="6" spans="1:32" s="15" customFormat="1" x14ac:dyDescent="0.25">
      <c r="A6" s="75">
        <v>44105</v>
      </c>
      <c r="B6" s="15" t="s">
        <v>77</v>
      </c>
      <c r="C6" s="15">
        <v>133.33000000000001</v>
      </c>
      <c r="D6" s="15">
        <f t="shared" si="0"/>
        <v>1999.9500000000003</v>
      </c>
      <c r="E6" s="15">
        <v>15</v>
      </c>
      <c r="F6" s="15">
        <v>0</v>
      </c>
      <c r="G6" s="15">
        <f t="shared" si="1"/>
        <v>0</v>
      </c>
      <c r="H6" s="15">
        <v>0</v>
      </c>
      <c r="I6" s="15">
        <v>0</v>
      </c>
      <c r="J6" s="15">
        <f t="shared" ref="J6:J8" si="5">C6*2*I6</f>
        <v>0</v>
      </c>
      <c r="K6" s="15">
        <v>2</v>
      </c>
      <c r="L6" s="15">
        <f t="shared" si="2"/>
        <v>66.665000000000006</v>
      </c>
      <c r="M6" s="15">
        <v>0</v>
      </c>
      <c r="N6" s="15">
        <v>0</v>
      </c>
      <c r="O6" s="15">
        <v>0</v>
      </c>
      <c r="P6" s="53">
        <v>0.1</v>
      </c>
      <c r="Q6" s="15">
        <v>0</v>
      </c>
      <c r="R6" s="84">
        <v>73.422640000000001</v>
      </c>
      <c r="S6" s="84">
        <f>D6+G6+H6+J6+L6+N6+O6+Q13+R6</f>
        <v>2140.0376400000005</v>
      </c>
      <c r="T6" s="132">
        <v>26.130136986301316</v>
      </c>
      <c r="U6" s="15">
        <v>0</v>
      </c>
      <c r="V6" s="15">
        <f t="shared" si="3"/>
        <v>0</v>
      </c>
      <c r="W6" s="15">
        <f t="shared" si="4"/>
        <v>0</v>
      </c>
      <c r="X6" s="15">
        <v>0</v>
      </c>
      <c r="Y6" s="53">
        <v>0.1</v>
      </c>
      <c r="Z6" s="15">
        <f>D6*Y6</f>
        <v>199.99500000000003</v>
      </c>
      <c r="AA6" s="15">
        <v>0</v>
      </c>
      <c r="AB6" s="15">
        <f>AA6*C6</f>
        <v>0</v>
      </c>
      <c r="AC6" s="132">
        <v>23.517123287671179</v>
      </c>
      <c r="AD6" s="15">
        <v>199.99500000000003</v>
      </c>
      <c r="AE6" s="53">
        <f t="shared" ref="AE6:AE8" si="6">T6+V6+X6+Z6+AB6+W6+AC6</f>
        <v>249.64226027397254</v>
      </c>
      <c r="AF6" s="197">
        <f t="shared" ref="AF6:AF8" si="7">S6-AE6</f>
        <v>1890.3953797260278</v>
      </c>
    </row>
    <row r="7" spans="1:32" s="15" customFormat="1" x14ac:dyDescent="0.25">
      <c r="A7" s="75">
        <v>44105</v>
      </c>
      <c r="B7" s="15" t="s">
        <v>79</v>
      </c>
      <c r="C7" s="15">
        <v>300</v>
      </c>
      <c r="D7" s="15">
        <f t="shared" si="0"/>
        <v>4500</v>
      </c>
      <c r="E7" s="15">
        <v>13</v>
      </c>
      <c r="F7" s="15">
        <v>0</v>
      </c>
      <c r="G7" s="15">
        <f t="shared" si="1"/>
        <v>0</v>
      </c>
      <c r="H7" s="15">
        <v>0</v>
      </c>
      <c r="I7" s="15">
        <v>0</v>
      </c>
      <c r="J7" s="15">
        <f t="shared" si="5"/>
        <v>0</v>
      </c>
      <c r="K7" s="15">
        <v>2</v>
      </c>
      <c r="L7" s="15">
        <f t="shared" si="2"/>
        <v>150</v>
      </c>
      <c r="M7" s="15">
        <v>0</v>
      </c>
      <c r="N7" s="15">
        <v>0</v>
      </c>
      <c r="O7" s="15">
        <v>0</v>
      </c>
      <c r="P7" s="53">
        <v>0.1</v>
      </c>
      <c r="Q7" s="15">
        <v>0</v>
      </c>
      <c r="R7" s="84">
        <v>0</v>
      </c>
      <c r="S7" s="84">
        <f>D7+G7+H7+J7+L7+N7+O7+Q14+R7</f>
        <v>4650</v>
      </c>
      <c r="T7" s="132">
        <v>53.705692602739731</v>
      </c>
      <c r="U7" s="15">
        <v>0</v>
      </c>
      <c r="V7" s="15">
        <f t="shared" si="3"/>
        <v>0</v>
      </c>
      <c r="W7" s="15">
        <f t="shared" si="4"/>
        <v>0</v>
      </c>
      <c r="X7" s="15">
        <v>302.918272</v>
      </c>
      <c r="Y7" s="53">
        <v>0.1</v>
      </c>
      <c r="Z7" s="15">
        <f>D7*Y7</f>
        <v>450</v>
      </c>
      <c r="AA7" s="15">
        <v>2</v>
      </c>
      <c r="AB7" s="15">
        <f>AA7*C7</f>
        <v>600</v>
      </c>
      <c r="AC7" s="132">
        <v>45.858390410958904</v>
      </c>
      <c r="AD7" s="15">
        <v>450</v>
      </c>
      <c r="AE7" s="53">
        <f t="shared" si="6"/>
        <v>1452.4823550136987</v>
      </c>
      <c r="AF7" s="197">
        <f t="shared" si="7"/>
        <v>3197.5176449863011</v>
      </c>
    </row>
    <row r="8" spans="1:32" s="15" customFormat="1" x14ac:dyDescent="0.25">
      <c r="A8" s="75">
        <v>44105</v>
      </c>
      <c r="B8" s="15" t="s">
        <v>78</v>
      </c>
      <c r="C8" s="15">
        <v>800</v>
      </c>
      <c r="D8" s="15">
        <f t="shared" si="0"/>
        <v>12000</v>
      </c>
      <c r="E8" s="15">
        <v>11</v>
      </c>
      <c r="F8" s="15">
        <v>0</v>
      </c>
      <c r="G8" s="15">
        <f t="shared" si="1"/>
        <v>0</v>
      </c>
      <c r="H8" s="15">
        <v>0</v>
      </c>
      <c r="I8" s="15">
        <v>0</v>
      </c>
      <c r="J8" s="15">
        <f t="shared" si="5"/>
        <v>0</v>
      </c>
      <c r="K8" s="15">
        <v>2</v>
      </c>
      <c r="L8" s="15">
        <f t="shared" si="2"/>
        <v>400</v>
      </c>
      <c r="M8" s="15">
        <v>0</v>
      </c>
      <c r="N8" s="15">
        <v>0</v>
      </c>
      <c r="O8" s="15">
        <v>0</v>
      </c>
      <c r="P8" s="53">
        <v>0.1</v>
      </c>
      <c r="Q8" s="15">
        <v>0</v>
      </c>
      <c r="R8" s="84">
        <v>0</v>
      </c>
      <c r="S8" s="84">
        <f>D8+G8+H8+J8+L8+N8+O8+Q15+R8</f>
        <v>12400</v>
      </c>
      <c r="T8" s="132">
        <v>148.42409261643837</v>
      </c>
      <c r="U8" s="15">
        <v>4248.6374999999998</v>
      </c>
      <c r="V8" s="15">
        <f t="shared" si="3"/>
        <v>3115.6675</v>
      </c>
      <c r="W8" s="15">
        <f t="shared" si="4"/>
        <v>0</v>
      </c>
      <c r="X8" s="15">
        <v>1289.8304880000001</v>
      </c>
      <c r="Y8" s="53">
        <v>0.1</v>
      </c>
      <c r="Z8" s="15">
        <f>D8*Y8</f>
        <v>1200</v>
      </c>
      <c r="AA8" s="15">
        <v>4</v>
      </c>
      <c r="AB8" s="15">
        <f>AA8*C8</f>
        <v>3200</v>
      </c>
      <c r="AC8" s="132">
        <v>109.01744496575343</v>
      </c>
      <c r="AD8" s="15">
        <v>1200</v>
      </c>
      <c r="AE8" s="53">
        <f t="shared" si="6"/>
        <v>9062.939525582191</v>
      </c>
      <c r="AF8" s="197">
        <f t="shared" si="7"/>
        <v>3337.060474417809</v>
      </c>
    </row>
    <row r="9" spans="1:32" x14ac:dyDescent="0.25">
      <c r="D9" s="84"/>
      <c r="X9" s="9"/>
    </row>
    <row r="10" spans="1:32" x14ac:dyDescent="0.25">
      <c r="D10" s="84"/>
    </row>
    <row r="11" spans="1:32" x14ac:dyDescent="0.25">
      <c r="D11" s="84"/>
    </row>
    <row r="12" spans="1:32" x14ac:dyDescent="0.25">
      <c r="D12" s="84"/>
      <c r="Q12" s="15"/>
    </row>
    <row r="13" spans="1:32" x14ac:dyDescent="0.25">
      <c r="Q13" s="15"/>
    </row>
    <row r="14" spans="1:32" x14ac:dyDescent="0.25">
      <c r="Q14" s="15"/>
    </row>
    <row r="15" spans="1:32" x14ac:dyDescent="0.25">
      <c r="Q15" s="15"/>
    </row>
  </sheetData>
  <mergeCells count="3">
    <mergeCell ref="C2:S2"/>
    <mergeCell ref="T2:AE2"/>
    <mergeCell ref="D1:AE1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1"/>
  <sheetViews>
    <sheetView workbookViewId="0">
      <pane xSplit="5" ySplit="6" topLeftCell="W7" activePane="bottomRight" state="frozen"/>
      <selection pane="topRight" activeCell="F1" sqref="F1"/>
      <selection pane="bottomLeft" activeCell="A7" sqref="A7"/>
      <selection pane="bottomRight" activeCell="AF10" sqref="AF10"/>
    </sheetView>
  </sheetViews>
  <sheetFormatPr baseColWidth="10" defaultRowHeight="15" x14ac:dyDescent="0.25"/>
  <cols>
    <col min="1" max="1" width="6.5703125" customWidth="1"/>
    <col min="2" max="2" width="19.28515625" bestFit="1" customWidth="1"/>
    <col min="3" max="3" width="14.42578125" customWidth="1"/>
    <col min="4" max="4" width="10.5703125" customWidth="1"/>
    <col min="5" max="5" width="9.5703125" customWidth="1"/>
    <col min="7" max="7" width="11.42578125" style="132"/>
    <col min="8" max="8" width="9.28515625" customWidth="1"/>
    <col min="9" max="9" width="9.28515625" style="132" customWidth="1"/>
    <col min="10" max="10" width="11.85546875" customWidth="1"/>
    <col min="11" max="11" width="11.85546875" style="132" customWidth="1"/>
    <col min="13" max="13" width="11.42578125" style="132"/>
    <col min="15" max="15" width="11.42578125" style="132"/>
    <col min="17" max="17" width="11.42578125" style="132"/>
    <col min="19" max="21" width="11.42578125" style="132"/>
    <col min="23" max="23" width="11.42578125" style="132"/>
    <col min="28" max="29" width="11.42578125" style="132"/>
  </cols>
  <sheetData>
    <row r="1" spans="1:33" s="180" customFormat="1" ht="23.25" customHeight="1" x14ac:dyDescent="0.25">
      <c r="A1" s="82" t="s">
        <v>126</v>
      </c>
      <c r="B1" s="82" t="s">
        <v>127</v>
      </c>
      <c r="C1" s="82" t="s">
        <v>141</v>
      </c>
      <c r="D1" s="225" t="s">
        <v>145</v>
      </c>
      <c r="E1" s="225"/>
      <c r="F1" s="229" t="s">
        <v>149</v>
      </c>
      <c r="G1" s="229"/>
      <c r="H1" s="222" t="s">
        <v>150</v>
      </c>
      <c r="I1" s="222"/>
      <c r="J1" s="222"/>
      <c r="K1" s="222"/>
      <c r="L1" s="222"/>
      <c r="M1" s="222"/>
      <c r="N1" s="222"/>
      <c r="O1" s="222"/>
      <c r="P1" s="221" t="s">
        <v>151</v>
      </c>
      <c r="Q1" s="221"/>
      <c r="R1" s="232" t="s">
        <v>39</v>
      </c>
      <c r="S1" s="232"/>
      <c r="T1" s="232"/>
      <c r="U1" s="232"/>
      <c r="V1" s="222" t="s">
        <v>158</v>
      </c>
      <c r="W1" s="222"/>
      <c r="X1" s="229" t="s">
        <v>152</v>
      </c>
      <c r="Y1" s="229"/>
      <c r="AB1" s="187"/>
      <c r="AC1" s="187"/>
    </row>
    <row r="2" spans="1:33" s="181" customFormat="1" ht="24.75" customHeight="1" x14ac:dyDescent="0.25">
      <c r="A2" s="165">
        <v>86.88</v>
      </c>
      <c r="B2" s="165">
        <f>A2*3</f>
        <v>260.64</v>
      </c>
      <c r="C2" s="169">
        <v>0.54354999999999998</v>
      </c>
      <c r="D2" s="226" t="s">
        <v>146</v>
      </c>
      <c r="E2" s="226"/>
      <c r="F2" s="224" t="s">
        <v>154</v>
      </c>
      <c r="G2" s="224"/>
      <c r="H2" s="182" t="s">
        <v>155</v>
      </c>
      <c r="I2" s="182" t="s">
        <v>161</v>
      </c>
      <c r="J2" s="183"/>
      <c r="K2" s="182" t="s">
        <v>162</v>
      </c>
      <c r="L2" s="223" t="s">
        <v>160</v>
      </c>
      <c r="M2" s="223"/>
      <c r="N2" s="223" t="s">
        <v>156</v>
      </c>
      <c r="O2" s="223"/>
      <c r="P2" s="224" t="s">
        <v>154</v>
      </c>
      <c r="Q2" s="224"/>
      <c r="R2" s="230" t="s">
        <v>153</v>
      </c>
      <c r="S2" s="230"/>
      <c r="T2" s="230" t="s">
        <v>39</v>
      </c>
      <c r="U2" s="230"/>
      <c r="V2" s="223" t="s">
        <v>155</v>
      </c>
      <c r="W2" s="223"/>
      <c r="X2" s="224" t="s">
        <v>157</v>
      </c>
      <c r="Y2" s="224"/>
      <c r="AB2" s="188"/>
      <c r="AC2" s="188"/>
    </row>
    <row r="3" spans="1:33" s="169" customFormat="1" ht="15.75" thickBot="1" x14ac:dyDescent="0.3">
      <c r="D3" s="220" t="s">
        <v>147</v>
      </c>
      <c r="E3" s="170"/>
      <c r="F3" s="174" t="s">
        <v>128</v>
      </c>
      <c r="G3" s="173" t="s">
        <v>159</v>
      </c>
      <c r="H3" s="82" t="s">
        <v>128</v>
      </c>
      <c r="I3" s="173" t="s">
        <v>159</v>
      </c>
      <c r="J3" s="82" t="s">
        <v>128</v>
      </c>
      <c r="K3" s="173" t="s">
        <v>159</v>
      </c>
      <c r="L3" s="82" t="s">
        <v>128</v>
      </c>
      <c r="M3" s="173" t="s">
        <v>159</v>
      </c>
      <c r="N3" s="82" t="s">
        <v>128</v>
      </c>
      <c r="O3" s="173" t="s">
        <v>159</v>
      </c>
      <c r="P3" s="82" t="s">
        <v>128</v>
      </c>
      <c r="Q3" s="173" t="s">
        <v>159</v>
      </c>
      <c r="R3" s="83" t="s">
        <v>128</v>
      </c>
      <c r="S3" s="172" t="s">
        <v>159</v>
      </c>
      <c r="T3" s="83" t="s">
        <v>128</v>
      </c>
      <c r="U3" s="172" t="s">
        <v>159</v>
      </c>
      <c r="V3" s="82" t="s">
        <v>128</v>
      </c>
      <c r="W3" s="173" t="s">
        <v>159</v>
      </c>
      <c r="X3" s="82" t="s">
        <v>128</v>
      </c>
      <c r="Y3" s="173" t="s">
        <v>159</v>
      </c>
      <c r="AB3" s="165"/>
      <c r="AC3" s="165"/>
    </row>
    <row r="4" spans="1:33" ht="15.75" thickBot="1" x14ac:dyDescent="0.3">
      <c r="D4" s="220"/>
      <c r="E4" s="168"/>
      <c r="F4" s="171">
        <v>0</v>
      </c>
      <c r="G4" s="171">
        <v>5.4355000000000002E-3</v>
      </c>
      <c r="H4" s="171">
        <v>0</v>
      </c>
      <c r="I4" s="171">
        <v>0.20399999999999999</v>
      </c>
      <c r="J4" s="171">
        <v>4.0000000000000001E-3</v>
      </c>
      <c r="K4" s="171">
        <v>1.0999999999999999E-2</v>
      </c>
      <c r="L4" s="171">
        <v>3.7499999999999999E-3</v>
      </c>
      <c r="M4" s="171">
        <v>1.0500000000000001E-2</v>
      </c>
      <c r="N4" s="171">
        <v>2.5000000000000001E-3</v>
      </c>
      <c r="O4" s="171">
        <v>7.0000000000000001E-3</v>
      </c>
      <c r="P4" s="171">
        <v>6.2500000000000003E-3</v>
      </c>
      <c r="Q4" s="171">
        <v>1.7500000000000002E-2</v>
      </c>
      <c r="R4" s="184">
        <v>0</v>
      </c>
      <c r="S4" s="184">
        <v>0.02</v>
      </c>
      <c r="T4" s="184">
        <v>1.125E-2</v>
      </c>
      <c r="U4" s="184">
        <v>3.15E-2</v>
      </c>
      <c r="V4" s="171">
        <v>0</v>
      </c>
      <c r="W4" s="171">
        <v>0.01</v>
      </c>
      <c r="X4" s="171">
        <v>0</v>
      </c>
      <c r="Y4" s="171">
        <v>0.05</v>
      </c>
      <c r="AB4" s="189"/>
      <c r="AC4" s="189"/>
    </row>
    <row r="5" spans="1:33" x14ac:dyDescent="0.25">
      <c r="D5" s="228" t="s">
        <v>148</v>
      </c>
      <c r="E5" s="228"/>
      <c r="F5" s="219" t="s">
        <v>38</v>
      </c>
      <c r="G5" s="219"/>
      <c r="H5" s="227" t="s">
        <v>169</v>
      </c>
      <c r="I5" s="227"/>
      <c r="J5" s="219" t="s">
        <v>129</v>
      </c>
      <c r="K5" s="219"/>
      <c r="L5" s="219" t="s">
        <v>38</v>
      </c>
      <c r="M5" s="219"/>
      <c r="N5" s="219" t="s">
        <v>38</v>
      </c>
      <c r="O5" s="219"/>
      <c r="P5" s="219" t="s">
        <v>38</v>
      </c>
      <c r="Q5" s="219"/>
      <c r="R5" s="231" t="s">
        <v>38</v>
      </c>
      <c r="S5" s="231"/>
      <c r="T5" s="231" t="s">
        <v>38</v>
      </c>
      <c r="U5" s="231"/>
      <c r="V5" s="219" t="s">
        <v>38</v>
      </c>
      <c r="W5" s="219"/>
      <c r="X5" s="219" t="s">
        <v>163</v>
      </c>
      <c r="Y5" s="219"/>
      <c r="Z5" s="217" t="s">
        <v>170</v>
      </c>
      <c r="AA5" s="217"/>
      <c r="AB5" s="217"/>
      <c r="AC5" s="217"/>
      <c r="AD5" s="218" t="s">
        <v>94</v>
      </c>
      <c r="AE5" s="218"/>
      <c r="AF5" s="218"/>
      <c r="AG5" s="218"/>
    </row>
    <row r="6" spans="1:33" x14ac:dyDescent="0.25">
      <c r="A6" s="166" t="s">
        <v>142</v>
      </c>
      <c r="B6" s="179" t="s">
        <v>117</v>
      </c>
      <c r="C6" s="167" t="s">
        <v>143</v>
      </c>
      <c r="D6" s="167" t="s">
        <v>144</v>
      </c>
      <c r="E6" s="167" t="s">
        <v>40</v>
      </c>
      <c r="F6" s="176" t="s">
        <v>128</v>
      </c>
      <c r="G6" s="175" t="s">
        <v>159</v>
      </c>
      <c r="H6" s="176" t="s">
        <v>128</v>
      </c>
      <c r="I6" s="175" t="s">
        <v>159</v>
      </c>
      <c r="J6" s="176" t="s">
        <v>128</v>
      </c>
      <c r="K6" s="175" t="s">
        <v>159</v>
      </c>
      <c r="L6" s="176" t="s">
        <v>128</v>
      </c>
      <c r="M6" s="175" t="s">
        <v>159</v>
      </c>
      <c r="N6" s="176" t="s">
        <v>128</v>
      </c>
      <c r="O6" s="175" t="s">
        <v>159</v>
      </c>
      <c r="P6" s="176" t="s">
        <v>128</v>
      </c>
      <c r="Q6" s="175" t="s">
        <v>159</v>
      </c>
      <c r="R6" s="178" t="s">
        <v>128</v>
      </c>
      <c r="S6" s="177" t="s">
        <v>159</v>
      </c>
      <c r="T6" s="178" t="s">
        <v>128</v>
      </c>
      <c r="U6" s="177" t="s">
        <v>159</v>
      </c>
      <c r="V6" s="176" t="s">
        <v>128</v>
      </c>
      <c r="W6" s="175" t="s">
        <v>159</v>
      </c>
      <c r="X6" s="176" t="s">
        <v>128</v>
      </c>
      <c r="Y6" s="175" t="s">
        <v>159</v>
      </c>
      <c r="Z6" s="190" t="s">
        <v>171</v>
      </c>
      <c r="AA6" s="190" t="s">
        <v>172</v>
      </c>
      <c r="AB6" s="191" t="s">
        <v>173</v>
      </c>
      <c r="AC6" s="191" t="s">
        <v>174</v>
      </c>
      <c r="AD6" s="192" t="s">
        <v>167</v>
      </c>
      <c r="AE6" s="192" t="s">
        <v>168</v>
      </c>
      <c r="AF6" s="192" t="s">
        <v>175</v>
      </c>
      <c r="AG6" s="192" t="s">
        <v>176</v>
      </c>
    </row>
    <row r="7" spans="1:33" x14ac:dyDescent="0.25">
      <c r="B7" t="s">
        <v>164</v>
      </c>
      <c r="C7">
        <v>15</v>
      </c>
      <c r="D7" s="23">
        <v>128.89473972602738</v>
      </c>
      <c r="E7">
        <v>0</v>
      </c>
      <c r="F7">
        <f>D7*$F$4</f>
        <v>0</v>
      </c>
      <c r="G7" s="132">
        <f>D7*$G$4</f>
        <v>0.70060735778082184</v>
      </c>
      <c r="H7">
        <f>$A$2*$H$4</f>
        <v>0</v>
      </c>
      <c r="I7" s="132">
        <f>$A$2*$I$4</f>
        <v>17.723519999999997</v>
      </c>
      <c r="J7">
        <f>E7*$J$4</f>
        <v>0</v>
      </c>
      <c r="K7" s="132">
        <f>E7*$K$4</f>
        <v>0</v>
      </c>
      <c r="L7">
        <f>D7*$L$4</f>
        <v>0.48335527397260264</v>
      </c>
      <c r="M7" s="132">
        <f>D7*$M$4</f>
        <v>1.3533947671232875</v>
      </c>
      <c r="N7">
        <f>D7*$N$4</f>
        <v>0.32223684931506846</v>
      </c>
      <c r="O7" s="132">
        <f>D7*$O$4</f>
        <v>0.9022631780821917</v>
      </c>
      <c r="P7">
        <f>D7*$P$4</f>
        <v>0.80559212328767116</v>
      </c>
      <c r="Q7" s="132">
        <f>D7*$Q$4</f>
        <v>2.2556579452054795</v>
      </c>
      <c r="R7" s="186">
        <f>D7*$R$4</f>
        <v>0</v>
      </c>
      <c r="S7" s="185">
        <f>D7*$S$4</f>
        <v>2.5778947945205477</v>
      </c>
      <c r="T7" s="186">
        <f>D7*$T$4</f>
        <v>1.450065821917808</v>
      </c>
      <c r="U7" s="185">
        <f>D7*$U$4</f>
        <v>4.0601843013698629</v>
      </c>
      <c r="V7">
        <f>D7*$V$4</f>
        <v>0</v>
      </c>
      <c r="W7" s="132">
        <f>D7*$W$4</f>
        <v>1.2889473972602739</v>
      </c>
      <c r="X7">
        <f>D7*$X$4</f>
        <v>0</v>
      </c>
      <c r="Y7">
        <f>D7*$Y$4</f>
        <v>6.4447369863013693</v>
      </c>
      <c r="Z7">
        <f>SUM(X7+V7+P7+N7+L7+J7+H7+F7)</f>
        <v>1.6111842465753423</v>
      </c>
      <c r="AA7">
        <f>Y7+W7+Q7+O7+M7+K7+I7+G7</f>
        <v>30.669127631753422</v>
      </c>
      <c r="AB7" s="186">
        <f>T7+R7</f>
        <v>1.450065821917808</v>
      </c>
      <c r="AC7" s="186">
        <f>U7+S7</f>
        <v>6.6380790958904106</v>
      </c>
      <c r="AD7">
        <f>Z7*C7</f>
        <v>24.167763698630136</v>
      </c>
      <c r="AE7">
        <f>AA7*C7</f>
        <v>460.03691447630132</v>
      </c>
      <c r="AF7">
        <f>AB7*C7</f>
        <v>21.75098732876712</v>
      </c>
      <c r="AG7">
        <f>AC7*C7</f>
        <v>99.571186438356165</v>
      </c>
    </row>
    <row r="8" spans="1:33" ht="15.75" customHeight="1" x14ac:dyDescent="0.25">
      <c r="B8" t="s">
        <v>165</v>
      </c>
      <c r="C8">
        <v>15</v>
      </c>
      <c r="D8" s="132">
        <v>139.360730593607</v>
      </c>
      <c r="E8" s="132">
        <v>0</v>
      </c>
      <c r="F8" s="132">
        <f t="shared" ref="F8:F10" si="0">D8*$F$4</f>
        <v>0</v>
      </c>
      <c r="G8" s="132">
        <f t="shared" ref="G8:G10" si="1">D8*$G$4</f>
        <v>0.75749525114155092</v>
      </c>
      <c r="H8" s="132">
        <f>$A$2*$H$4</f>
        <v>0</v>
      </c>
      <c r="I8" s="132">
        <f>$A$2*$I$4</f>
        <v>17.723519999999997</v>
      </c>
      <c r="J8" s="132">
        <f t="shared" ref="J8:J10" si="2">E8*$J$4</f>
        <v>0</v>
      </c>
      <c r="K8" s="132">
        <f t="shared" ref="K8:K10" si="3">E8*$K$4</f>
        <v>0</v>
      </c>
      <c r="L8" s="132">
        <f t="shared" ref="L8:L10" si="4">D8*$L$4</f>
        <v>0.52260273972602622</v>
      </c>
      <c r="M8" s="132">
        <f>D8*$M$4</f>
        <v>1.4632876712328735</v>
      </c>
      <c r="N8" s="132">
        <f t="shared" ref="N8:N10" si="5">D8*$N$4</f>
        <v>0.34840182648401752</v>
      </c>
      <c r="O8" s="132">
        <f t="shared" ref="O8:O10" si="6">D8*$O$4</f>
        <v>0.97552511415524901</v>
      </c>
      <c r="P8" s="132">
        <f t="shared" ref="P8:P10" si="7">D8*$P$4</f>
        <v>0.87100456621004385</v>
      </c>
      <c r="Q8" s="132">
        <f t="shared" ref="Q8:Q10" si="8">D8*$Q$4</f>
        <v>2.438812785388123</v>
      </c>
      <c r="R8" s="186">
        <f t="shared" ref="R8:R10" si="9">D8*$R$4</f>
        <v>0</v>
      </c>
      <c r="S8" s="185">
        <f t="shared" ref="S8:S10" si="10">D8*$S$4</f>
        <v>2.7872146118721401</v>
      </c>
      <c r="T8" s="186">
        <f t="shared" ref="T8:T10" si="11">D8*$T$4</f>
        <v>1.5678082191780787</v>
      </c>
      <c r="U8" s="185">
        <f t="shared" ref="U8:U10" si="12">D8*$U$4</f>
        <v>4.389863013698621</v>
      </c>
      <c r="V8" s="132">
        <f t="shared" ref="V8:V10" si="13">D8*$V$4</f>
        <v>0</v>
      </c>
      <c r="W8" s="132">
        <f t="shared" ref="W8:W10" si="14">D8*$W$4</f>
        <v>1.3936073059360701</v>
      </c>
      <c r="X8" s="132">
        <f t="shared" ref="X8:X10" si="15">D8*$X$4</f>
        <v>0</v>
      </c>
      <c r="Y8" s="132">
        <f t="shared" ref="Y8:Y10" si="16">D8*$Y$4</f>
        <v>6.9680365296803508</v>
      </c>
      <c r="Z8" s="132">
        <f t="shared" ref="Z8:Z10" si="17">SUM(X8+V8+P8+N8+L8+J8+H8+F8)</f>
        <v>1.7420091324200877</v>
      </c>
      <c r="AA8" s="132">
        <f t="shared" ref="AA8:AA10" si="18">Y8+W8+Q8+O8+M8+K8+I8+G8</f>
        <v>31.720284657534215</v>
      </c>
      <c r="AB8" s="186">
        <f t="shared" ref="AB8:AB10" si="19">T8+R8</f>
        <v>1.5678082191780787</v>
      </c>
      <c r="AC8" s="186">
        <f t="shared" ref="AC8:AC10" si="20">U8+S8</f>
        <v>7.1770776255707611</v>
      </c>
      <c r="AD8" s="132">
        <f t="shared" ref="AD8:AD10" si="21">Z8*C8</f>
        <v>26.130136986301316</v>
      </c>
      <c r="AE8" s="132">
        <f t="shared" ref="AE8:AE10" si="22">AA8*C8</f>
        <v>475.80426986301325</v>
      </c>
      <c r="AF8" s="132">
        <f t="shared" ref="AF8:AF10" si="23">AB8*C8</f>
        <v>23.517123287671179</v>
      </c>
      <c r="AG8" s="132">
        <f t="shared" ref="AG8:AG10" si="24">AC8*C8</f>
        <v>107.65616438356142</v>
      </c>
    </row>
    <row r="9" spans="1:33" x14ac:dyDescent="0.25">
      <c r="B9" t="s">
        <v>75</v>
      </c>
      <c r="C9">
        <v>13</v>
      </c>
      <c r="D9" s="132">
        <v>313.56164383561645</v>
      </c>
      <c r="E9" s="132">
        <f t="shared" ref="E9:E10" si="25">D9-$B$2</f>
        <v>52.921643835616464</v>
      </c>
      <c r="F9" s="132">
        <f t="shared" si="0"/>
        <v>0</v>
      </c>
      <c r="G9" s="132">
        <f t="shared" si="1"/>
        <v>1.7043643150684933</v>
      </c>
      <c r="H9" s="132">
        <f>$A$2*$H$4</f>
        <v>0</v>
      </c>
      <c r="I9" s="132">
        <f>$A$2*$I$4</f>
        <v>17.723519999999997</v>
      </c>
      <c r="J9" s="132">
        <f t="shared" si="2"/>
        <v>0.21168657534246585</v>
      </c>
      <c r="K9" s="132">
        <f t="shared" si="3"/>
        <v>0.58213808219178109</v>
      </c>
      <c r="L9" s="132">
        <f t="shared" si="4"/>
        <v>1.1758561643835617</v>
      </c>
      <c r="M9" s="132">
        <f>D9*$M$4</f>
        <v>3.2923972602739728</v>
      </c>
      <c r="N9" s="132">
        <f t="shared" si="5"/>
        <v>0.78390410958904111</v>
      </c>
      <c r="O9" s="132">
        <f t="shared" si="6"/>
        <v>2.1949315068493154</v>
      </c>
      <c r="P9" s="132">
        <f t="shared" si="7"/>
        <v>1.959760273972603</v>
      </c>
      <c r="Q9" s="132">
        <f t="shared" si="8"/>
        <v>5.4873287671232882</v>
      </c>
      <c r="R9" s="186">
        <f t="shared" si="9"/>
        <v>0</v>
      </c>
      <c r="S9" s="185">
        <f t="shared" si="10"/>
        <v>6.2712328767123289</v>
      </c>
      <c r="T9" s="186">
        <f t="shared" si="11"/>
        <v>3.5275684931506848</v>
      </c>
      <c r="U9" s="185">
        <f t="shared" si="12"/>
        <v>9.877191780821919</v>
      </c>
      <c r="V9" s="132">
        <f t="shared" si="13"/>
        <v>0</v>
      </c>
      <c r="W9" s="132">
        <f t="shared" si="14"/>
        <v>3.1356164383561644</v>
      </c>
      <c r="X9" s="132">
        <f t="shared" si="15"/>
        <v>0</v>
      </c>
      <c r="Y9" s="132">
        <f t="shared" si="16"/>
        <v>15.678082191780824</v>
      </c>
      <c r="Z9" s="132">
        <f t="shared" si="17"/>
        <v>4.1312071232876715</v>
      </c>
      <c r="AA9" s="132">
        <f t="shared" si="18"/>
        <v>49.798378561643837</v>
      </c>
      <c r="AB9" s="186">
        <f t="shared" si="19"/>
        <v>3.5275684931506848</v>
      </c>
      <c r="AC9" s="186">
        <f t="shared" si="20"/>
        <v>16.14842465753425</v>
      </c>
      <c r="AD9" s="132">
        <f t="shared" si="21"/>
        <v>53.705692602739731</v>
      </c>
      <c r="AE9" s="132">
        <f t="shared" si="22"/>
        <v>647.37892130136993</v>
      </c>
      <c r="AF9" s="132">
        <f t="shared" si="23"/>
        <v>45.858390410958904</v>
      </c>
      <c r="AG9" s="132">
        <f t="shared" si="24"/>
        <v>209.92952054794523</v>
      </c>
    </row>
    <row r="10" spans="1:33" ht="14.25" customHeight="1" x14ac:dyDescent="0.25">
      <c r="B10" t="s">
        <v>166</v>
      </c>
      <c r="C10">
        <v>11</v>
      </c>
      <c r="D10" s="132">
        <v>880.94905022831051</v>
      </c>
      <c r="E10" s="132">
        <f t="shared" si="25"/>
        <v>620.30905022831053</v>
      </c>
      <c r="F10" s="132">
        <f t="shared" si="0"/>
        <v>0</v>
      </c>
      <c r="G10" s="132">
        <f t="shared" si="1"/>
        <v>4.7883985625159822</v>
      </c>
      <c r="H10" s="132">
        <f>$A$2*$H$4</f>
        <v>0</v>
      </c>
      <c r="I10" s="132">
        <f>$A$2*$I$4</f>
        <v>17.723519999999997</v>
      </c>
      <c r="J10" s="132">
        <f t="shared" si="2"/>
        <v>2.481236200913242</v>
      </c>
      <c r="K10" s="132">
        <f t="shared" si="3"/>
        <v>6.8233995525114155</v>
      </c>
      <c r="L10" s="132">
        <f t="shared" si="4"/>
        <v>3.3035589383561641</v>
      </c>
      <c r="M10" s="132">
        <f>D10*$M$4</f>
        <v>9.2499650273972609</v>
      </c>
      <c r="N10" s="132">
        <f t="shared" si="5"/>
        <v>2.2023726255707765</v>
      </c>
      <c r="O10" s="132">
        <f t="shared" si="6"/>
        <v>6.1666433515981733</v>
      </c>
      <c r="P10" s="132">
        <f t="shared" si="7"/>
        <v>5.5059315639269411</v>
      </c>
      <c r="Q10" s="132">
        <f t="shared" si="8"/>
        <v>15.416608378995436</v>
      </c>
      <c r="R10" s="186">
        <f t="shared" si="9"/>
        <v>0</v>
      </c>
      <c r="S10" s="185">
        <f t="shared" si="10"/>
        <v>17.618981004566212</v>
      </c>
      <c r="T10" s="186">
        <f t="shared" si="11"/>
        <v>9.9106768150684932</v>
      </c>
      <c r="U10" s="185">
        <f t="shared" si="12"/>
        <v>27.749895082191781</v>
      </c>
      <c r="V10" s="132">
        <f t="shared" si="13"/>
        <v>0</v>
      </c>
      <c r="W10" s="132">
        <f t="shared" si="14"/>
        <v>8.809490502283106</v>
      </c>
      <c r="X10" s="132">
        <f t="shared" si="15"/>
        <v>0</v>
      </c>
      <c r="Y10" s="132">
        <f t="shared" si="16"/>
        <v>44.047452511415528</v>
      </c>
      <c r="Z10" s="132">
        <f t="shared" si="17"/>
        <v>13.493099328767125</v>
      </c>
      <c r="AA10" s="132">
        <f t="shared" si="18"/>
        <v>113.0254778867169</v>
      </c>
      <c r="AB10" s="186">
        <f t="shared" si="19"/>
        <v>9.9106768150684932</v>
      </c>
      <c r="AC10" s="186">
        <f t="shared" si="20"/>
        <v>45.368876086757993</v>
      </c>
      <c r="AD10" s="132">
        <f t="shared" si="21"/>
        <v>148.42409261643837</v>
      </c>
      <c r="AE10" s="132">
        <f t="shared" si="22"/>
        <v>1243.2802567538859</v>
      </c>
      <c r="AF10" s="132">
        <f t="shared" si="23"/>
        <v>109.01744496575343</v>
      </c>
      <c r="AG10" s="132">
        <f t="shared" si="24"/>
        <v>499.05763695433791</v>
      </c>
    </row>
    <row r="11" spans="1:33" x14ac:dyDescent="0.25">
      <c r="G11"/>
      <c r="I11"/>
      <c r="K11"/>
      <c r="M11"/>
      <c r="O11"/>
      <c r="Q11"/>
      <c r="T11"/>
    </row>
  </sheetData>
  <mergeCells count="30">
    <mergeCell ref="X1:Y1"/>
    <mergeCell ref="X2:Y2"/>
    <mergeCell ref="X5:Y5"/>
    <mergeCell ref="P5:Q5"/>
    <mergeCell ref="R2:S2"/>
    <mergeCell ref="R5:S5"/>
    <mergeCell ref="T2:U2"/>
    <mergeCell ref="T5:U5"/>
    <mergeCell ref="V1:W1"/>
    <mergeCell ref="R1:U1"/>
    <mergeCell ref="V2:W2"/>
    <mergeCell ref="V5:W5"/>
    <mergeCell ref="F5:G5"/>
    <mergeCell ref="D3:D4"/>
    <mergeCell ref="P1:Q1"/>
    <mergeCell ref="H1:O1"/>
    <mergeCell ref="L2:M2"/>
    <mergeCell ref="N2:O2"/>
    <mergeCell ref="P2:Q2"/>
    <mergeCell ref="D1:E1"/>
    <mergeCell ref="D2:E2"/>
    <mergeCell ref="H5:I5"/>
    <mergeCell ref="D5:E5"/>
    <mergeCell ref="F1:G1"/>
    <mergeCell ref="F2:G2"/>
    <mergeCell ref="Z5:AC5"/>
    <mergeCell ref="AD5:AG5"/>
    <mergeCell ref="J5:K5"/>
    <mergeCell ref="L5:M5"/>
    <mergeCell ref="N5:O5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I8"/>
  <sheetViews>
    <sheetView workbookViewId="0">
      <selection activeCell="F18" sqref="F18"/>
    </sheetView>
  </sheetViews>
  <sheetFormatPr baseColWidth="10" defaultRowHeight="15" x14ac:dyDescent="0.25"/>
  <cols>
    <col min="4" max="4" width="17.28515625" customWidth="1"/>
    <col min="5" max="5" width="9.85546875" customWidth="1"/>
    <col min="6" max="6" width="15.28515625" customWidth="1"/>
    <col min="7" max="8" width="15.28515625" style="132" customWidth="1"/>
    <col min="9" max="9" width="18.140625" customWidth="1"/>
  </cols>
  <sheetData>
    <row r="1" spans="1:9" s="22" customFormat="1" x14ac:dyDescent="0.25">
      <c r="A1" s="233" t="s">
        <v>23</v>
      </c>
      <c r="B1" s="233"/>
      <c r="C1" s="233">
        <v>84.55</v>
      </c>
      <c r="D1" s="233"/>
      <c r="E1" s="21"/>
    </row>
    <row r="2" spans="1:9" s="16" customFormat="1" ht="25.5" x14ac:dyDescent="0.25">
      <c r="A2" s="193" t="s">
        <v>177</v>
      </c>
      <c r="B2" s="17" t="s">
        <v>22</v>
      </c>
      <c r="C2" s="64" t="s">
        <v>144</v>
      </c>
      <c r="D2" s="18" t="s">
        <v>25</v>
      </c>
      <c r="E2" s="18" t="s">
        <v>82</v>
      </c>
      <c r="F2" s="19" t="s">
        <v>179</v>
      </c>
      <c r="G2" s="19" t="s">
        <v>178</v>
      </c>
      <c r="H2" s="19" t="s">
        <v>180</v>
      </c>
      <c r="I2" s="20" t="s">
        <v>181</v>
      </c>
    </row>
    <row r="3" spans="1:9" x14ac:dyDescent="0.25">
      <c r="B3" s="97" t="s">
        <v>24</v>
      </c>
      <c r="C3" s="97"/>
      <c r="D3" s="97">
        <v>24.12</v>
      </c>
      <c r="E3" s="97"/>
      <c r="F3" s="97">
        <f>D3*84.55</f>
        <v>2039.346</v>
      </c>
      <c r="G3" s="97"/>
      <c r="H3" s="98">
        <f>F3/2</f>
        <v>1019.673</v>
      </c>
    </row>
    <row r="4" spans="1:9" x14ac:dyDescent="0.25">
      <c r="A4">
        <v>15</v>
      </c>
      <c r="B4" s="97" t="s">
        <v>73</v>
      </c>
      <c r="C4" s="97">
        <v>128.79470000000001</v>
      </c>
      <c r="D4" s="97">
        <v>0</v>
      </c>
      <c r="E4" s="99">
        <v>0.15</v>
      </c>
      <c r="F4">
        <f>G4*30</f>
        <v>579.57614999999998</v>
      </c>
      <c r="G4" s="97">
        <f>C4*E4</f>
        <v>19.319205</v>
      </c>
      <c r="H4" s="98">
        <f>G4*A4</f>
        <v>289.78807499999999</v>
      </c>
    </row>
    <row r="5" spans="1:9" x14ac:dyDescent="0.25">
      <c r="A5">
        <v>11</v>
      </c>
      <c r="B5" s="97" t="s">
        <v>78</v>
      </c>
      <c r="C5" s="97"/>
      <c r="D5" s="97">
        <v>100.5</v>
      </c>
      <c r="E5" s="97"/>
      <c r="F5" s="97">
        <f t="shared" ref="F5" si="0">D5*84.55</f>
        <v>8497.2749999999996</v>
      </c>
      <c r="G5" s="97">
        <f>F5/30</f>
        <v>283.24250000000001</v>
      </c>
      <c r="H5" s="85">
        <f>G5*A5</f>
        <v>3115.6675</v>
      </c>
    </row>
    <row r="8" spans="1:9" x14ac:dyDescent="0.25">
      <c r="H8" s="98"/>
    </row>
  </sheetData>
  <mergeCells count="2">
    <mergeCell ref="A1:B1"/>
    <mergeCell ref="C1:D1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U24"/>
  <sheetViews>
    <sheetView tabSelected="1" topLeftCell="A10" workbookViewId="0">
      <selection activeCell="K12" sqref="K12"/>
    </sheetView>
  </sheetViews>
  <sheetFormatPr baseColWidth="10" defaultRowHeight="15" x14ac:dyDescent="0.25"/>
  <cols>
    <col min="1" max="1" width="7.140625" bestFit="1" customWidth="1"/>
    <col min="2" max="2" width="13.5703125" bestFit="1" customWidth="1"/>
    <col min="4" max="4" width="22.28515625" customWidth="1"/>
    <col min="5" max="5" width="7.5703125" style="132" bestFit="1" customWidth="1"/>
    <col min="6" max="6" width="5.42578125" style="132" customWidth="1"/>
    <col min="7" max="9" width="11.42578125" style="132"/>
    <col min="10" max="10" width="11.140625" style="132" customWidth="1"/>
    <col min="11" max="11" width="10.5703125" style="132" customWidth="1"/>
    <col min="12" max="12" width="3.85546875" style="132" customWidth="1"/>
    <col min="14" max="16" width="11.42578125" style="132"/>
    <col min="18" max="18" width="11.42578125" style="132"/>
  </cols>
  <sheetData>
    <row r="1" spans="1:21" s="132" customFormat="1" x14ac:dyDescent="0.25">
      <c r="L1" s="132">
        <v>365</v>
      </c>
    </row>
    <row r="2" spans="1:21" x14ac:dyDescent="0.25">
      <c r="J2" s="234"/>
      <c r="K2" s="234"/>
      <c r="L2" s="234"/>
    </row>
    <row r="3" spans="1:21" ht="25.5" x14ac:dyDescent="0.25">
      <c r="A3" s="206" t="s">
        <v>191</v>
      </c>
      <c r="B3" s="206" t="s">
        <v>192</v>
      </c>
      <c r="C3" s="206" t="s">
        <v>193</v>
      </c>
      <c r="D3" s="206" t="s">
        <v>26</v>
      </c>
      <c r="E3" s="206" t="s">
        <v>1</v>
      </c>
      <c r="F3" s="207" t="s">
        <v>185</v>
      </c>
      <c r="G3" s="207" t="s">
        <v>186</v>
      </c>
      <c r="H3" s="207" t="s">
        <v>187</v>
      </c>
      <c r="I3" s="207" t="s">
        <v>112</v>
      </c>
      <c r="J3" s="207" t="s">
        <v>200</v>
      </c>
      <c r="K3" s="207" t="s">
        <v>198</v>
      </c>
      <c r="L3" s="69" t="s">
        <v>28</v>
      </c>
      <c r="M3" s="61" t="s">
        <v>194</v>
      </c>
      <c r="N3" s="61" t="s">
        <v>195</v>
      </c>
      <c r="O3" s="61" t="s">
        <v>113</v>
      </c>
      <c r="P3" s="61" t="s">
        <v>201</v>
      </c>
      <c r="Q3" s="61" t="s">
        <v>184</v>
      </c>
      <c r="R3" s="198" t="s">
        <v>4</v>
      </c>
      <c r="S3" s="198" t="s">
        <v>202</v>
      </c>
      <c r="T3" s="198" t="s">
        <v>4</v>
      </c>
      <c r="U3" s="201" t="s">
        <v>94</v>
      </c>
    </row>
    <row r="4" spans="1:21" s="84" customFormat="1" x14ac:dyDescent="0.25">
      <c r="A4" s="84">
        <v>9000</v>
      </c>
      <c r="B4" s="199">
        <v>44105</v>
      </c>
      <c r="C4" s="199">
        <v>44180</v>
      </c>
      <c r="D4" s="208" t="s">
        <v>75</v>
      </c>
      <c r="E4" s="200">
        <f>A4/30</f>
        <v>300</v>
      </c>
      <c r="F4" s="200">
        <v>15</v>
      </c>
      <c r="G4" s="202" t="s">
        <v>189</v>
      </c>
      <c r="H4" s="199">
        <v>44105</v>
      </c>
      <c r="I4" s="84">
        <f>C4-B4</f>
        <v>75</v>
      </c>
      <c r="J4" s="84">
        <f>(O4*F4)/$L$1</f>
        <v>-3.0821917808219177</v>
      </c>
      <c r="K4" s="84">
        <f>J4*E4</f>
        <v>-924.65753424657532</v>
      </c>
      <c r="L4" s="200">
        <v>6</v>
      </c>
      <c r="M4" s="202" t="s">
        <v>190</v>
      </c>
      <c r="N4" s="199">
        <v>44105</v>
      </c>
      <c r="O4" s="84">
        <f>_xlfn.DAYS(B4,C4)</f>
        <v>-75</v>
      </c>
      <c r="P4" s="84">
        <f>(O4*L4)/$L$1</f>
        <v>-1.2328767123287672</v>
      </c>
      <c r="Q4" s="84">
        <f>P4*E4</f>
        <v>-369.86301369863014</v>
      </c>
      <c r="R4" s="53">
        <v>0.25</v>
      </c>
      <c r="S4" s="84">
        <f>P4*R4</f>
        <v>-0.30821917808219179</v>
      </c>
      <c r="T4" s="84">
        <f>S4*E4</f>
        <v>-92.465753424657535</v>
      </c>
      <c r="U4" s="84">
        <f>K4+Q4+T4</f>
        <v>-1386.986301369863</v>
      </c>
    </row>
    <row r="5" spans="1:21" x14ac:dyDescent="0.25">
      <c r="A5">
        <v>5000</v>
      </c>
      <c r="B5" s="74">
        <v>43221</v>
      </c>
      <c r="C5" s="74">
        <v>44135</v>
      </c>
      <c r="D5" t="s">
        <v>197</v>
      </c>
      <c r="E5" s="204">
        <f>A5/30</f>
        <v>166.66666666666666</v>
      </c>
      <c r="F5" s="200">
        <v>15</v>
      </c>
      <c r="G5" s="202" t="s">
        <v>189</v>
      </c>
      <c r="H5" s="199">
        <v>43831</v>
      </c>
      <c r="I5">
        <f>C5-H5</f>
        <v>304</v>
      </c>
      <c r="J5" s="84">
        <f>O5*F5/$L$1</f>
        <v>7.5205479452054798</v>
      </c>
      <c r="K5" s="84">
        <f>J5*E5</f>
        <v>1253.4246575342465</v>
      </c>
      <c r="L5" s="200">
        <v>6</v>
      </c>
      <c r="M5" s="202" t="s">
        <v>199</v>
      </c>
      <c r="N5" s="199">
        <v>43952</v>
      </c>
      <c r="O5">
        <f>C5-N5</f>
        <v>183</v>
      </c>
      <c r="P5" s="84">
        <f>O5*L5/$L$1</f>
        <v>3.0082191780821916</v>
      </c>
      <c r="Q5" s="84">
        <f>P5*E5</f>
        <v>501.36986301369859</v>
      </c>
      <c r="R5" s="200">
        <v>0.25</v>
      </c>
      <c r="S5" s="84">
        <f>P5*R5</f>
        <v>0.75205479452054791</v>
      </c>
      <c r="T5" s="84">
        <f>S5*E5</f>
        <v>125.34246575342465</v>
      </c>
      <c r="U5" s="84">
        <f>K5+Q5+T5</f>
        <v>1880.1369863013697</v>
      </c>
    </row>
    <row r="6" spans="1:21" x14ac:dyDescent="0.25">
      <c r="A6">
        <v>8000</v>
      </c>
      <c r="B6" s="74">
        <v>43830</v>
      </c>
      <c r="C6" s="74">
        <v>43866</v>
      </c>
      <c r="D6" t="s">
        <v>196</v>
      </c>
      <c r="E6" s="204">
        <f>A6/30</f>
        <v>266.66666666666669</v>
      </c>
      <c r="F6" s="200">
        <v>15</v>
      </c>
      <c r="G6" s="202" t="s">
        <v>189</v>
      </c>
      <c r="H6" s="74">
        <v>43831</v>
      </c>
      <c r="I6" s="205">
        <f>C6-H6</f>
        <v>35</v>
      </c>
      <c r="J6" s="84">
        <f>O6*F6/$L$1</f>
        <v>-1.4794520547945205</v>
      </c>
      <c r="K6" s="84">
        <f>J6*E6</f>
        <v>-394.52054794520546</v>
      </c>
      <c r="L6" s="200">
        <v>6</v>
      </c>
      <c r="M6" s="203" t="s">
        <v>188</v>
      </c>
      <c r="N6" s="74">
        <v>43830</v>
      </c>
      <c r="O6" s="132">
        <f>_xlfn.DAYS(N6,C6)</f>
        <v>-36</v>
      </c>
      <c r="P6" s="84">
        <f>O6*L6/$L$1</f>
        <v>-0.59178082191780823</v>
      </c>
      <c r="Q6" s="84">
        <f>P6*E6</f>
        <v>-157.8082191780822</v>
      </c>
      <c r="R6" s="200">
        <v>0.25</v>
      </c>
      <c r="S6" s="84">
        <f>P6*R6</f>
        <v>-0.14794520547945206</v>
      </c>
      <c r="T6" s="84">
        <f>S6*E6</f>
        <v>-39.452054794520549</v>
      </c>
      <c r="U6" s="84">
        <f>K6+Q6+T6</f>
        <v>-591.78082191780823</v>
      </c>
    </row>
    <row r="11" spans="1:21" s="240" customFormat="1" ht="30" x14ac:dyDescent="0.25">
      <c r="H11" s="240" t="s">
        <v>75</v>
      </c>
      <c r="I11" s="240" t="s">
        <v>215</v>
      </c>
      <c r="J11" s="240" t="s">
        <v>216</v>
      </c>
    </row>
    <row r="12" spans="1:21" s="240" customFormat="1" ht="22.5" customHeight="1" x14ac:dyDescent="0.25">
      <c r="E12" s="240">
        <v>2020</v>
      </c>
      <c r="G12" s="240" t="s">
        <v>217</v>
      </c>
      <c r="H12" s="240">
        <f>E22+E23+14</f>
        <v>75</v>
      </c>
      <c r="I12" s="240">
        <f>E17+E18+E19+E20+E21+E22</f>
        <v>183</v>
      </c>
      <c r="J12" s="240">
        <f>1+E13+4</f>
        <v>36</v>
      </c>
    </row>
    <row r="13" spans="1:21" ht="26.25" customHeight="1" x14ac:dyDescent="0.25">
      <c r="E13" s="132">
        <v>31</v>
      </c>
      <c r="F13" s="132" t="s">
        <v>214</v>
      </c>
      <c r="G13" s="239" t="s">
        <v>218</v>
      </c>
      <c r="H13" s="240">
        <f>E23+E24+14</f>
        <v>75</v>
      </c>
      <c r="I13" s="132">
        <f>SUM(E13:E22)</f>
        <v>304</v>
      </c>
      <c r="J13" s="132">
        <f>SUM(E13+4)</f>
        <v>35</v>
      </c>
    </row>
    <row r="14" spans="1:21" x14ac:dyDescent="0.25">
      <c r="B14" s="74">
        <v>44105</v>
      </c>
      <c r="C14" s="74">
        <v>44136</v>
      </c>
      <c r="D14">
        <f>_xlfn.DAYS(B14,C14)</f>
        <v>-31</v>
      </c>
      <c r="E14" s="132">
        <v>29</v>
      </c>
      <c r="F14" s="132" t="s">
        <v>205</v>
      </c>
    </row>
    <row r="15" spans="1:21" x14ac:dyDescent="0.25">
      <c r="B15" s="74">
        <v>44136</v>
      </c>
      <c r="C15" s="74">
        <v>44180</v>
      </c>
      <c r="D15" s="132">
        <f>_xlfn.DAYS(B15,C15)</f>
        <v>-44</v>
      </c>
      <c r="E15" s="132">
        <v>30</v>
      </c>
      <c r="F15" s="132" t="s">
        <v>206</v>
      </c>
    </row>
    <row r="16" spans="1:21" x14ac:dyDescent="0.25">
      <c r="E16" s="132">
        <v>31</v>
      </c>
      <c r="F16" s="132" t="s">
        <v>207</v>
      </c>
    </row>
    <row r="17" spans="5:6" x14ac:dyDescent="0.25">
      <c r="E17" s="132">
        <v>30</v>
      </c>
      <c r="F17" s="132" t="s">
        <v>208</v>
      </c>
    </row>
    <row r="18" spans="5:6" x14ac:dyDescent="0.25">
      <c r="E18" s="132">
        <v>31</v>
      </c>
      <c r="F18" s="132" t="s">
        <v>209</v>
      </c>
    </row>
    <row r="19" spans="5:6" x14ac:dyDescent="0.25">
      <c r="E19" s="132">
        <v>30</v>
      </c>
      <c r="F19" s="132" t="s">
        <v>210</v>
      </c>
    </row>
    <row r="20" spans="5:6" x14ac:dyDescent="0.25">
      <c r="E20" s="132">
        <v>31</v>
      </c>
      <c r="F20" s="132" t="s">
        <v>211</v>
      </c>
    </row>
    <row r="21" spans="5:6" x14ac:dyDescent="0.25">
      <c r="E21" s="132">
        <v>30</v>
      </c>
      <c r="F21" s="132" t="s">
        <v>212</v>
      </c>
    </row>
    <row r="22" spans="5:6" x14ac:dyDescent="0.25">
      <c r="E22" s="132">
        <v>31</v>
      </c>
      <c r="F22" s="132" t="s">
        <v>213</v>
      </c>
    </row>
    <row r="23" spans="5:6" x14ac:dyDescent="0.25">
      <c r="E23" s="132">
        <v>30</v>
      </c>
      <c r="F23" s="132" t="s">
        <v>203</v>
      </c>
    </row>
    <row r="24" spans="5:6" x14ac:dyDescent="0.25">
      <c r="E24" s="132">
        <v>31</v>
      </c>
      <c r="F24" s="132" t="s">
        <v>204</v>
      </c>
    </row>
  </sheetData>
  <mergeCells count="1">
    <mergeCell ref="J2:L2"/>
  </mergeCells>
  <phoneticPr fontId="19" type="noConversion"/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CFF"/>
  </sheetPr>
  <dimension ref="A1:N26"/>
  <sheetViews>
    <sheetView topLeftCell="A2" workbookViewId="0">
      <selection activeCell="F13" sqref="F13"/>
    </sheetView>
  </sheetViews>
  <sheetFormatPr baseColWidth="10" defaultRowHeight="15" x14ac:dyDescent="0.25"/>
  <cols>
    <col min="4" max="4" width="23.42578125" customWidth="1"/>
    <col min="6" max="6" width="13.7109375" customWidth="1"/>
    <col min="10" max="10" width="8.5703125" customWidth="1"/>
  </cols>
  <sheetData>
    <row r="1" spans="1:14" ht="29.25" thickBot="1" x14ac:dyDescent="0.3">
      <c r="A1" s="142" t="s">
        <v>130</v>
      </c>
      <c r="B1" s="143" t="s">
        <v>131</v>
      </c>
      <c r="C1" s="143" t="s">
        <v>119</v>
      </c>
      <c r="D1" s="144" t="s">
        <v>132</v>
      </c>
    </row>
    <row r="2" spans="1:14" s="15" customFormat="1" ht="24.75" customHeight="1" thickBot="1" x14ac:dyDescent="0.3">
      <c r="A2" s="100">
        <v>0.01</v>
      </c>
      <c r="B2" s="101">
        <v>578.52</v>
      </c>
      <c r="C2" s="101">
        <v>0</v>
      </c>
      <c r="D2" s="102">
        <v>1.9199999999999998E-2</v>
      </c>
    </row>
    <row r="3" spans="1:14" s="15" customFormat="1" ht="26.25" thickBot="1" x14ac:dyDescent="0.3">
      <c r="A3" s="103">
        <v>578.53</v>
      </c>
      <c r="B3" s="104">
        <v>4910.18</v>
      </c>
      <c r="C3" s="104">
        <v>11.11</v>
      </c>
      <c r="D3" s="102">
        <v>6.4000000000000001E-2</v>
      </c>
      <c r="F3" s="148" t="s">
        <v>111</v>
      </c>
      <c r="G3" s="149" t="s">
        <v>105</v>
      </c>
      <c r="H3" s="149" t="s">
        <v>106</v>
      </c>
      <c r="I3" s="149" t="s">
        <v>107</v>
      </c>
      <c r="J3" s="149" t="s">
        <v>104</v>
      </c>
      <c r="K3" s="149" t="s">
        <v>108</v>
      </c>
      <c r="L3" s="149" t="s">
        <v>58</v>
      </c>
      <c r="M3" s="149" t="s">
        <v>109</v>
      </c>
      <c r="N3" s="148" t="s">
        <v>110</v>
      </c>
    </row>
    <row r="4" spans="1:14" s="15" customFormat="1" ht="15.75" thickBot="1" x14ac:dyDescent="0.3">
      <c r="A4" s="105">
        <v>4910.1899999999996</v>
      </c>
      <c r="B4" s="106">
        <v>8629.2000000000007</v>
      </c>
      <c r="C4" s="101">
        <v>288.33</v>
      </c>
      <c r="D4" s="102">
        <v>0.10879999999999999</v>
      </c>
      <c r="F4" s="71" t="s">
        <v>83</v>
      </c>
      <c r="G4" s="73">
        <v>3696.3</v>
      </c>
      <c r="H4" s="15">
        <f>VLOOKUP(G4,ISRM,1,9)</f>
        <v>578.53</v>
      </c>
      <c r="I4" s="15">
        <f>G4-H4</f>
        <v>3117.7700000000004</v>
      </c>
      <c r="J4" s="53">
        <f>I4*VLOOKUP(G4,ISRM,4,1)</f>
        <v>199.53728000000004</v>
      </c>
      <c r="K4" s="15">
        <f>VLOOKUP(G4,ISRM,3,1)</f>
        <v>11.11</v>
      </c>
      <c r="L4" s="53">
        <f>J4+K4</f>
        <v>210.64728000000002</v>
      </c>
      <c r="M4" s="15">
        <f>VLOOKUP(G4,SUBM,3,1)</f>
        <v>382.46</v>
      </c>
      <c r="N4" s="53">
        <f>L4-M4</f>
        <v>-171.81271999999996</v>
      </c>
    </row>
    <row r="5" spans="1:14" s="15" customFormat="1" ht="15.75" thickBot="1" x14ac:dyDescent="0.3">
      <c r="A5" s="103">
        <v>8629.2099999999991</v>
      </c>
      <c r="B5" s="104">
        <v>10031.07</v>
      </c>
      <c r="C5" s="104">
        <v>692.96</v>
      </c>
      <c r="D5" s="102">
        <v>0.16</v>
      </c>
      <c r="F5" s="71" t="s">
        <v>77</v>
      </c>
      <c r="G5" s="73">
        <v>3999.9000000000005</v>
      </c>
      <c r="H5" s="84">
        <f>VLOOKUP(G5,ISRM,1,9)</f>
        <v>578.53</v>
      </c>
      <c r="I5" s="84">
        <f t="shared" ref="I5:I7" si="0">G5-H5</f>
        <v>3421.3700000000008</v>
      </c>
      <c r="J5" s="53">
        <f>I5*VLOOKUP(G5,ISRM,4,1)</f>
        <v>218.96768000000006</v>
      </c>
      <c r="K5" s="84">
        <f>VLOOKUP(G5,ISRM,3,1)</f>
        <v>11.11</v>
      </c>
      <c r="L5" s="53">
        <f t="shared" ref="L5:L7" si="1">J5+K5</f>
        <v>230.07768000000004</v>
      </c>
      <c r="M5" s="84">
        <f>VLOOKUP(G5,SUBM,3,1)</f>
        <v>382.46</v>
      </c>
      <c r="N5" s="53">
        <f t="shared" ref="N5:N7" si="2">L5-M5</f>
        <v>-152.38231999999994</v>
      </c>
    </row>
    <row r="6" spans="1:14" s="15" customFormat="1" ht="15.75" thickBot="1" x14ac:dyDescent="0.3">
      <c r="A6" s="100">
        <v>10031.08</v>
      </c>
      <c r="B6" s="101">
        <v>12009.94</v>
      </c>
      <c r="C6" s="101">
        <v>917.26</v>
      </c>
      <c r="D6" s="102">
        <v>0.1792</v>
      </c>
      <c r="F6" s="71" t="s">
        <v>84</v>
      </c>
      <c r="G6" s="73">
        <v>9000</v>
      </c>
      <c r="H6" s="84">
        <f>VLOOKUP(G6,ISRM,1,9)</f>
        <v>8629.2099999999991</v>
      </c>
      <c r="I6" s="84">
        <f t="shared" si="0"/>
        <v>370.79000000000087</v>
      </c>
      <c r="J6" s="53">
        <f>I6*VLOOKUP(G6,ISRM,4,1)</f>
        <v>59.326400000000142</v>
      </c>
      <c r="K6" s="84">
        <f>VLOOKUP(G6,ISRM,3,1)</f>
        <v>692.96</v>
      </c>
      <c r="L6" s="53">
        <f t="shared" si="1"/>
        <v>752.28640000000019</v>
      </c>
      <c r="M6" s="84">
        <f>VLOOKUP(G6,SUBM,3,1)</f>
        <v>0</v>
      </c>
      <c r="N6" s="53">
        <f t="shared" si="2"/>
        <v>752.28640000000019</v>
      </c>
    </row>
    <row r="7" spans="1:14" s="15" customFormat="1" ht="15.75" thickBot="1" x14ac:dyDescent="0.3">
      <c r="A7" s="103">
        <v>12009.95</v>
      </c>
      <c r="B7" s="104">
        <v>24222.31</v>
      </c>
      <c r="C7" s="104">
        <v>1271.8699999999999</v>
      </c>
      <c r="D7" s="102">
        <v>0.21360000000000001</v>
      </c>
      <c r="F7" s="71" t="s">
        <v>78</v>
      </c>
      <c r="G7" s="73">
        <v>24000</v>
      </c>
      <c r="H7" s="84">
        <f>VLOOKUP(G7,ISRM,1,9)</f>
        <v>12009.95</v>
      </c>
      <c r="I7" s="84">
        <f t="shared" si="0"/>
        <v>11990.05</v>
      </c>
      <c r="J7" s="53">
        <f>I7*VLOOKUP(G7,ISRM,4,1)</f>
        <v>2561.0746800000002</v>
      </c>
      <c r="K7" s="84">
        <f>VLOOKUP(G7,ISRM,3,1)</f>
        <v>1271.8699999999999</v>
      </c>
      <c r="L7" s="53">
        <f t="shared" si="1"/>
        <v>3832.9446800000001</v>
      </c>
      <c r="M7" s="84">
        <f>VLOOKUP(G7,SUBM,3,1)</f>
        <v>0</v>
      </c>
      <c r="N7" s="53">
        <f t="shared" si="2"/>
        <v>3832.9446800000001</v>
      </c>
    </row>
    <row r="8" spans="1:14" s="15" customFormat="1" ht="15.75" thickBot="1" x14ac:dyDescent="0.3">
      <c r="A8" s="100">
        <v>24222.32</v>
      </c>
      <c r="B8" s="101">
        <v>38177.69</v>
      </c>
      <c r="C8" s="101">
        <v>3880.44</v>
      </c>
      <c r="D8" s="102">
        <v>0.23519999999999999</v>
      </c>
      <c r="F8" s="71"/>
    </row>
    <row r="9" spans="1:14" s="15" customFormat="1" ht="15.75" thickBot="1" x14ac:dyDescent="0.3">
      <c r="A9" s="103">
        <v>38177.699999999997</v>
      </c>
      <c r="B9" s="104">
        <v>72887.5</v>
      </c>
      <c r="C9" s="104">
        <v>7162.74</v>
      </c>
      <c r="D9" s="102">
        <v>0.3</v>
      </c>
      <c r="F9" s="71"/>
    </row>
    <row r="10" spans="1:14" s="15" customFormat="1" ht="15.75" thickBot="1" x14ac:dyDescent="0.3">
      <c r="A10" s="100">
        <v>72887.509999999995</v>
      </c>
      <c r="B10" s="101">
        <v>97183.33</v>
      </c>
      <c r="C10" s="101">
        <v>17575.689999999999</v>
      </c>
      <c r="D10" s="102">
        <v>0.32</v>
      </c>
      <c r="F10" s="71"/>
      <c r="G10" s="73"/>
    </row>
    <row r="11" spans="1:14" s="15" customFormat="1" ht="15.75" thickBot="1" x14ac:dyDescent="0.3">
      <c r="A11" s="103">
        <v>97183.34</v>
      </c>
      <c r="B11" s="107">
        <v>291550</v>
      </c>
      <c r="C11" s="104">
        <v>25350.35</v>
      </c>
      <c r="D11" s="102">
        <v>0.34</v>
      </c>
      <c r="F11" s="71"/>
      <c r="G11" s="73"/>
    </row>
    <row r="12" spans="1:14" s="15" customFormat="1" ht="15.75" thickBot="1" x14ac:dyDescent="0.3">
      <c r="A12" s="100">
        <v>291550.01</v>
      </c>
      <c r="B12" s="101">
        <v>9999999999</v>
      </c>
      <c r="C12" s="101">
        <v>91435.02</v>
      </c>
      <c r="D12" s="102">
        <v>0.35</v>
      </c>
      <c r="F12" s="71"/>
      <c r="G12" s="73"/>
      <c r="H12" s="85"/>
    </row>
    <row r="13" spans="1:14" s="15" customFormat="1" x14ac:dyDescent="0.25">
      <c r="A13" s="25"/>
      <c r="B13" s="25"/>
      <c r="C13" s="25"/>
      <c r="D13" s="24"/>
      <c r="G13" s="73"/>
    </row>
    <row r="14" spans="1:14" s="15" customFormat="1" ht="15.75" thickBot="1" x14ac:dyDescent="0.3"/>
    <row r="15" spans="1:14" ht="57" thickBot="1" x14ac:dyDescent="0.3">
      <c r="A15" s="145" t="s">
        <v>133</v>
      </c>
      <c r="B15" s="146" t="s">
        <v>134</v>
      </c>
      <c r="C15" s="147" t="s">
        <v>135</v>
      </c>
    </row>
    <row r="16" spans="1:14" ht="15.75" thickBot="1" x14ac:dyDescent="0.3">
      <c r="A16" s="108">
        <v>0.01</v>
      </c>
      <c r="B16" s="110">
        <v>1768.96</v>
      </c>
      <c r="C16" s="111">
        <v>407.02</v>
      </c>
    </row>
    <row r="17" spans="1:3" ht="15.75" thickBot="1" x14ac:dyDescent="0.3">
      <c r="A17" s="112">
        <v>1768.97</v>
      </c>
      <c r="B17" s="113">
        <v>2653.38</v>
      </c>
      <c r="C17" s="114">
        <v>406.83</v>
      </c>
    </row>
    <row r="18" spans="1:3" ht="15.75" thickBot="1" x14ac:dyDescent="0.3">
      <c r="A18" s="115">
        <v>2653.39</v>
      </c>
      <c r="B18" s="110">
        <v>3472.84</v>
      </c>
      <c r="C18" s="111">
        <v>406.62</v>
      </c>
    </row>
    <row r="19" spans="1:3" ht="15.75" thickBot="1" x14ac:dyDescent="0.3">
      <c r="A19" s="112">
        <v>3472.85</v>
      </c>
      <c r="B19" s="113">
        <v>3537.87</v>
      </c>
      <c r="C19" s="114">
        <v>392.77</v>
      </c>
    </row>
    <row r="20" spans="1:3" ht="15.75" thickBot="1" x14ac:dyDescent="0.3">
      <c r="A20" s="115">
        <v>3537.88</v>
      </c>
      <c r="B20" s="110">
        <v>4446.1499999999996</v>
      </c>
      <c r="C20" s="111">
        <v>382.46</v>
      </c>
    </row>
    <row r="21" spans="1:3" ht="15.75" thickBot="1" x14ac:dyDescent="0.3">
      <c r="A21" s="112">
        <v>4446.16</v>
      </c>
      <c r="B21" s="113">
        <v>4717.18</v>
      </c>
      <c r="C21" s="114">
        <v>354.23</v>
      </c>
    </row>
    <row r="22" spans="1:3" ht="15.75" thickBot="1" x14ac:dyDescent="0.3">
      <c r="A22" s="115">
        <v>4717.1899999999996</v>
      </c>
      <c r="B22" s="110">
        <v>5335.42</v>
      </c>
      <c r="C22" s="111">
        <v>324.87</v>
      </c>
    </row>
    <row r="23" spans="1:3" ht="15.75" thickBot="1" x14ac:dyDescent="0.3">
      <c r="A23" s="116">
        <v>5335.43</v>
      </c>
      <c r="B23" s="117">
        <v>6224.67</v>
      </c>
      <c r="C23" s="114">
        <v>294.63</v>
      </c>
    </row>
    <row r="24" spans="1:3" ht="15.75" thickBot="1" x14ac:dyDescent="0.3">
      <c r="A24" s="115">
        <v>6224.68</v>
      </c>
      <c r="B24" s="110">
        <v>7113.9</v>
      </c>
      <c r="C24" s="111">
        <v>253.54</v>
      </c>
    </row>
    <row r="25" spans="1:3" ht="15.75" thickBot="1" x14ac:dyDescent="0.3">
      <c r="A25" s="112">
        <v>7113.91</v>
      </c>
      <c r="B25" s="113">
        <v>7382.33</v>
      </c>
      <c r="C25" s="114">
        <v>217.61</v>
      </c>
    </row>
    <row r="26" spans="1:3" ht="15.75" thickBot="1" x14ac:dyDescent="0.3">
      <c r="A26" s="115">
        <v>7382.34</v>
      </c>
      <c r="B26" s="109" t="s">
        <v>37</v>
      </c>
      <c r="C26" s="111"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1">
    <pageSetUpPr fitToPage="1"/>
  </sheetPr>
  <dimension ref="A1:Y39"/>
  <sheetViews>
    <sheetView zoomScaleNormal="100" workbookViewId="0">
      <selection activeCell="L6" sqref="L6"/>
    </sheetView>
  </sheetViews>
  <sheetFormatPr baseColWidth="10" defaultColWidth="0" defaultRowHeight="15" zeroHeight="1" x14ac:dyDescent="0.25"/>
  <cols>
    <col min="1" max="1" width="4.7109375" customWidth="1"/>
    <col min="2" max="24" width="3.140625" customWidth="1"/>
    <col min="25" max="25" width="4.7109375" customWidth="1"/>
    <col min="26" max="16384" width="11.42578125" hidden="1"/>
  </cols>
  <sheetData>
    <row r="1" spans="1:25" ht="46.5" x14ac:dyDescent="0.7">
      <c r="A1" s="26"/>
      <c r="B1" s="238">
        <v>43831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7"/>
    </row>
    <row r="2" spans="1:25" x14ac:dyDescent="0.25">
      <c r="A2" s="26"/>
      <c r="B2" s="28"/>
      <c r="C2" s="28"/>
      <c r="D2" s="29"/>
      <c r="E2" s="29"/>
      <c r="F2" s="29"/>
      <c r="G2" s="29"/>
      <c r="H2" s="28"/>
      <c r="I2" s="30"/>
      <c r="J2" s="28"/>
      <c r="K2" s="28"/>
      <c r="L2" s="28"/>
      <c r="M2" s="28"/>
      <c r="N2" s="28"/>
      <c r="O2" s="28"/>
      <c r="P2" s="28"/>
      <c r="Q2" s="30"/>
      <c r="R2" s="28"/>
      <c r="S2" s="28"/>
      <c r="T2" s="28"/>
      <c r="U2" s="28"/>
      <c r="V2" s="28"/>
      <c r="W2" s="28"/>
      <c r="X2" s="28"/>
      <c r="Y2" s="28"/>
    </row>
    <row r="3" spans="1:25" x14ac:dyDescent="0.25">
      <c r="A3" s="26"/>
      <c r="B3" s="235">
        <v>43831</v>
      </c>
      <c r="C3" s="236"/>
      <c r="D3" s="236"/>
      <c r="E3" s="236"/>
      <c r="F3" s="236"/>
      <c r="G3" s="236"/>
      <c r="H3" s="237"/>
      <c r="I3" s="26"/>
      <c r="J3" s="235">
        <v>43862</v>
      </c>
      <c r="K3" s="236"/>
      <c r="L3" s="236"/>
      <c r="M3" s="236"/>
      <c r="N3" s="236"/>
      <c r="O3" s="236"/>
      <c r="P3" s="237"/>
      <c r="Q3" s="26"/>
      <c r="R3" s="235">
        <v>43891</v>
      </c>
      <c r="S3" s="236"/>
      <c r="T3" s="236"/>
      <c r="U3" s="236"/>
      <c r="V3" s="236"/>
      <c r="W3" s="236"/>
      <c r="X3" s="237"/>
      <c r="Y3" s="31"/>
    </row>
    <row r="4" spans="1:25" x14ac:dyDescent="0.25">
      <c r="A4" s="26"/>
      <c r="B4" s="32" t="s">
        <v>31</v>
      </c>
      <c r="C4" s="33" t="s">
        <v>32</v>
      </c>
      <c r="D4" s="33" t="s">
        <v>40</v>
      </c>
      <c r="E4" s="33" t="s">
        <v>27</v>
      </c>
      <c r="F4" s="33" t="s">
        <v>28</v>
      </c>
      <c r="G4" s="33" t="s">
        <v>29</v>
      </c>
      <c r="H4" s="34" t="s">
        <v>30</v>
      </c>
      <c r="I4" s="35"/>
      <c r="J4" s="32" t="s">
        <v>31</v>
      </c>
      <c r="K4" s="33" t="s">
        <v>32</v>
      </c>
      <c r="L4" s="33" t="s">
        <v>40</v>
      </c>
      <c r="M4" s="33" t="s">
        <v>27</v>
      </c>
      <c r="N4" s="33" t="s">
        <v>28</v>
      </c>
      <c r="O4" s="33" t="s">
        <v>29</v>
      </c>
      <c r="P4" s="34" t="s">
        <v>30</v>
      </c>
      <c r="Q4" s="35"/>
      <c r="R4" s="32" t="s">
        <v>31</v>
      </c>
      <c r="S4" s="33" t="s">
        <v>32</v>
      </c>
      <c r="T4" s="33" t="s">
        <v>40</v>
      </c>
      <c r="U4" s="33" t="s">
        <v>27</v>
      </c>
      <c r="V4" s="33" t="s">
        <v>28</v>
      </c>
      <c r="W4" s="33" t="s">
        <v>29</v>
      </c>
      <c r="X4" s="34" t="s">
        <v>30</v>
      </c>
      <c r="Y4" s="31"/>
    </row>
    <row r="5" spans="1:25" x14ac:dyDescent="0.25">
      <c r="A5" s="26"/>
      <c r="B5" s="36"/>
      <c r="C5" s="37"/>
      <c r="D5" s="38">
        <v>43831</v>
      </c>
      <c r="E5" s="38">
        <v>43832</v>
      </c>
      <c r="F5" s="38">
        <v>43833</v>
      </c>
      <c r="G5" s="38">
        <v>43834</v>
      </c>
      <c r="H5" s="39">
        <v>43835</v>
      </c>
      <c r="I5" s="35"/>
      <c r="J5" s="36"/>
      <c r="K5" s="37"/>
      <c r="L5" s="37"/>
      <c r="M5" s="37"/>
      <c r="N5" s="37"/>
      <c r="O5" s="38">
        <v>43862</v>
      </c>
      <c r="P5" s="39">
        <v>43863</v>
      </c>
      <c r="Q5" s="35"/>
      <c r="R5" s="36"/>
      <c r="S5" s="37"/>
      <c r="T5" s="37"/>
      <c r="U5" s="37"/>
      <c r="V5" s="37"/>
      <c r="W5" s="37"/>
      <c r="X5" s="39">
        <v>43891</v>
      </c>
      <c r="Y5" s="31"/>
    </row>
    <row r="6" spans="1:25" x14ac:dyDescent="0.25">
      <c r="A6" s="26"/>
      <c r="B6" s="40">
        <v>43836</v>
      </c>
      <c r="C6" s="38">
        <v>43837</v>
      </c>
      <c r="D6" s="38">
        <v>43838</v>
      </c>
      <c r="E6" s="38">
        <v>43839</v>
      </c>
      <c r="F6" s="38">
        <v>43840</v>
      </c>
      <c r="G6" s="38">
        <v>43841</v>
      </c>
      <c r="H6" s="39">
        <v>43842</v>
      </c>
      <c r="I6" s="35"/>
      <c r="J6" s="40">
        <v>43864</v>
      </c>
      <c r="K6" s="38">
        <v>43865</v>
      </c>
      <c r="L6" s="38">
        <v>43866</v>
      </c>
      <c r="M6" s="38">
        <v>43867</v>
      </c>
      <c r="N6" s="38">
        <v>43868</v>
      </c>
      <c r="O6" s="38">
        <v>43869</v>
      </c>
      <c r="P6" s="39">
        <v>43870</v>
      </c>
      <c r="Q6" s="35"/>
      <c r="R6" s="40">
        <v>43892</v>
      </c>
      <c r="S6" s="38">
        <v>43893</v>
      </c>
      <c r="T6" s="38">
        <v>43894</v>
      </c>
      <c r="U6" s="38">
        <v>43895</v>
      </c>
      <c r="V6" s="38">
        <v>43896</v>
      </c>
      <c r="W6" s="38">
        <v>43897</v>
      </c>
      <c r="X6" s="39">
        <v>43898</v>
      </c>
      <c r="Y6" s="31"/>
    </row>
    <row r="7" spans="1:25" x14ac:dyDescent="0.25">
      <c r="A7" s="26"/>
      <c r="B7" s="40">
        <v>43843</v>
      </c>
      <c r="C7" s="38">
        <v>43844</v>
      </c>
      <c r="D7" s="38">
        <v>43845</v>
      </c>
      <c r="E7" s="38">
        <v>43846</v>
      </c>
      <c r="F7" s="38">
        <v>43847</v>
      </c>
      <c r="G7" s="38">
        <v>43848</v>
      </c>
      <c r="H7" s="39">
        <v>43849</v>
      </c>
      <c r="I7" s="35"/>
      <c r="J7" s="40">
        <v>43871</v>
      </c>
      <c r="K7" s="38">
        <v>43872</v>
      </c>
      <c r="L7" s="38">
        <v>43873</v>
      </c>
      <c r="M7" s="38">
        <v>43874</v>
      </c>
      <c r="N7" s="38">
        <v>43875</v>
      </c>
      <c r="O7" s="38">
        <v>43876</v>
      </c>
      <c r="P7" s="39">
        <v>43877</v>
      </c>
      <c r="Q7" s="35"/>
      <c r="R7" s="40">
        <v>43899</v>
      </c>
      <c r="S7" s="38">
        <v>43900</v>
      </c>
      <c r="T7" s="38">
        <v>43901</v>
      </c>
      <c r="U7" s="38">
        <v>43902</v>
      </c>
      <c r="V7" s="38">
        <v>43903</v>
      </c>
      <c r="W7" s="38">
        <v>43904</v>
      </c>
      <c r="X7" s="39">
        <v>43905</v>
      </c>
      <c r="Y7" s="31"/>
    </row>
    <row r="8" spans="1:25" x14ac:dyDescent="0.25">
      <c r="A8" s="26"/>
      <c r="B8" s="40">
        <v>43850</v>
      </c>
      <c r="C8" s="38">
        <v>43851</v>
      </c>
      <c r="D8" s="38">
        <v>43852</v>
      </c>
      <c r="E8" s="38">
        <v>43853</v>
      </c>
      <c r="F8" s="38">
        <v>43854</v>
      </c>
      <c r="G8" s="38">
        <v>43855</v>
      </c>
      <c r="H8" s="39">
        <v>43856</v>
      </c>
      <c r="I8" s="35"/>
      <c r="J8" s="40">
        <v>43878</v>
      </c>
      <c r="K8" s="38">
        <v>43879</v>
      </c>
      <c r="L8" s="38">
        <v>43880</v>
      </c>
      <c r="M8" s="38">
        <v>43881</v>
      </c>
      <c r="N8" s="38">
        <v>43882</v>
      </c>
      <c r="O8" s="38">
        <v>43883</v>
      </c>
      <c r="P8" s="39">
        <v>43884</v>
      </c>
      <c r="Q8" s="35"/>
      <c r="R8" s="40">
        <v>43906</v>
      </c>
      <c r="S8" s="38">
        <v>43907</v>
      </c>
      <c r="T8" s="38">
        <v>43908</v>
      </c>
      <c r="U8" s="38">
        <v>43909</v>
      </c>
      <c r="V8" s="38">
        <v>43910</v>
      </c>
      <c r="W8" s="38">
        <v>43911</v>
      </c>
      <c r="X8" s="39">
        <v>43912</v>
      </c>
      <c r="Y8" s="31"/>
    </row>
    <row r="9" spans="1:25" x14ac:dyDescent="0.25">
      <c r="A9" s="26"/>
      <c r="B9" s="40">
        <v>43857</v>
      </c>
      <c r="C9" s="38">
        <v>43858</v>
      </c>
      <c r="D9" s="38">
        <v>43859</v>
      </c>
      <c r="E9" s="38">
        <v>43860</v>
      </c>
      <c r="F9" s="38">
        <v>43861</v>
      </c>
      <c r="G9" s="37"/>
      <c r="H9" s="41"/>
      <c r="I9" s="35"/>
      <c r="J9" s="40">
        <v>43885</v>
      </c>
      <c r="K9" s="38">
        <v>43886</v>
      </c>
      <c r="L9" s="38">
        <v>43887</v>
      </c>
      <c r="M9" s="38">
        <v>43888</v>
      </c>
      <c r="N9" s="38">
        <v>43889</v>
      </c>
      <c r="O9" s="38">
        <v>43890</v>
      </c>
      <c r="P9" s="41"/>
      <c r="Q9" s="35"/>
      <c r="R9" s="40">
        <v>43913</v>
      </c>
      <c r="S9" s="38">
        <v>43914</v>
      </c>
      <c r="T9" s="38">
        <v>43915</v>
      </c>
      <c r="U9" s="38">
        <v>43916</v>
      </c>
      <c r="V9" s="38">
        <v>43917</v>
      </c>
      <c r="W9" s="38">
        <v>43918</v>
      </c>
      <c r="X9" s="39">
        <v>43919</v>
      </c>
      <c r="Y9" s="31"/>
    </row>
    <row r="10" spans="1:25" x14ac:dyDescent="0.25">
      <c r="A10" s="26"/>
      <c r="B10" s="42"/>
      <c r="C10" s="43"/>
      <c r="D10" s="43"/>
      <c r="E10" s="43"/>
      <c r="F10" s="43"/>
      <c r="G10" s="43"/>
      <c r="H10" s="44"/>
      <c r="I10" s="35"/>
      <c r="J10" s="42"/>
      <c r="K10" s="43"/>
      <c r="L10" s="43"/>
      <c r="M10" s="43"/>
      <c r="N10" s="43"/>
      <c r="O10" s="43"/>
      <c r="P10" s="44"/>
      <c r="Q10" s="35"/>
      <c r="R10" s="45">
        <v>43920</v>
      </c>
      <c r="S10" s="46">
        <v>43921</v>
      </c>
      <c r="T10" s="43"/>
      <c r="U10" s="43"/>
      <c r="V10" s="43"/>
      <c r="W10" s="43"/>
      <c r="X10" s="44"/>
      <c r="Y10" s="31"/>
    </row>
    <row r="11" spans="1:25" x14ac:dyDescent="0.25">
      <c r="A11" s="26"/>
      <c r="B11" s="47"/>
      <c r="C11" s="47"/>
      <c r="D11" s="47"/>
      <c r="E11" s="47"/>
      <c r="F11" s="47"/>
      <c r="G11" s="47"/>
      <c r="H11" s="47"/>
      <c r="I11" s="35"/>
      <c r="J11" s="47"/>
      <c r="K11" s="47"/>
      <c r="L11" s="47"/>
      <c r="M11" s="47"/>
      <c r="N11" s="47"/>
      <c r="O11" s="47"/>
      <c r="P11" s="47"/>
      <c r="Q11" s="35"/>
      <c r="R11" s="47"/>
      <c r="S11" s="47"/>
      <c r="T11" s="47"/>
      <c r="U11" s="47"/>
      <c r="V11" s="47"/>
      <c r="W11" s="47"/>
      <c r="X11" s="47"/>
      <c r="Y11" s="31"/>
    </row>
    <row r="12" spans="1:25" x14ac:dyDescent="0.25">
      <c r="A12" s="26"/>
      <c r="B12" s="235">
        <v>43922</v>
      </c>
      <c r="C12" s="236"/>
      <c r="D12" s="236"/>
      <c r="E12" s="236"/>
      <c r="F12" s="236"/>
      <c r="G12" s="236"/>
      <c r="H12" s="237"/>
      <c r="I12" s="26"/>
      <c r="J12" s="235">
        <v>43952</v>
      </c>
      <c r="K12" s="236"/>
      <c r="L12" s="236"/>
      <c r="M12" s="236"/>
      <c r="N12" s="236"/>
      <c r="O12" s="236"/>
      <c r="P12" s="237"/>
      <c r="Q12" s="26"/>
      <c r="R12" s="235">
        <v>43983</v>
      </c>
      <c r="S12" s="236"/>
      <c r="T12" s="236"/>
      <c r="U12" s="236"/>
      <c r="V12" s="236"/>
      <c r="W12" s="236"/>
      <c r="X12" s="237"/>
      <c r="Y12" s="31"/>
    </row>
    <row r="13" spans="1:25" x14ac:dyDescent="0.25">
      <c r="A13" s="26"/>
      <c r="B13" s="32" t="s">
        <v>31</v>
      </c>
      <c r="C13" s="33" t="s">
        <v>32</v>
      </c>
      <c r="D13" s="33" t="s">
        <v>40</v>
      </c>
      <c r="E13" s="33" t="s">
        <v>27</v>
      </c>
      <c r="F13" s="33" t="s">
        <v>28</v>
      </c>
      <c r="G13" s="33" t="s">
        <v>29</v>
      </c>
      <c r="H13" s="34" t="s">
        <v>30</v>
      </c>
      <c r="I13" s="35"/>
      <c r="J13" s="32" t="s">
        <v>31</v>
      </c>
      <c r="K13" s="33" t="s">
        <v>32</v>
      </c>
      <c r="L13" s="33" t="s">
        <v>40</v>
      </c>
      <c r="M13" s="33" t="s">
        <v>27</v>
      </c>
      <c r="N13" s="33" t="s">
        <v>28</v>
      </c>
      <c r="O13" s="33" t="s">
        <v>29</v>
      </c>
      <c r="P13" s="34" t="s">
        <v>30</v>
      </c>
      <c r="Q13" s="35"/>
      <c r="R13" s="32" t="s">
        <v>31</v>
      </c>
      <c r="S13" s="33" t="s">
        <v>32</v>
      </c>
      <c r="T13" s="33" t="s">
        <v>40</v>
      </c>
      <c r="U13" s="33" t="s">
        <v>27</v>
      </c>
      <c r="V13" s="33" t="s">
        <v>28</v>
      </c>
      <c r="W13" s="33" t="s">
        <v>29</v>
      </c>
      <c r="X13" s="34" t="s">
        <v>30</v>
      </c>
      <c r="Y13" s="31"/>
    </row>
    <row r="14" spans="1:25" x14ac:dyDescent="0.25">
      <c r="A14" s="26"/>
      <c r="B14" s="36"/>
      <c r="C14" s="37"/>
      <c r="D14" s="38">
        <v>43922</v>
      </c>
      <c r="E14" s="38">
        <v>43923</v>
      </c>
      <c r="F14" s="38">
        <v>43924</v>
      </c>
      <c r="G14" s="38">
        <v>43925</v>
      </c>
      <c r="H14" s="39">
        <v>43926</v>
      </c>
      <c r="I14" s="35"/>
      <c r="J14" s="36"/>
      <c r="K14" s="37"/>
      <c r="L14" s="37"/>
      <c r="M14" s="37"/>
      <c r="N14" s="38">
        <v>43952</v>
      </c>
      <c r="O14" s="38">
        <v>43953</v>
      </c>
      <c r="P14" s="39">
        <v>43954</v>
      </c>
      <c r="Q14" s="35"/>
      <c r="R14" s="40">
        <v>43983</v>
      </c>
      <c r="S14" s="38">
        <v>43984</v>
      </c>
      <c r="T14" s="38">
        <v>43985</v>
      </c>
      <c r="U14" s="38">
        <v>43986</v>
      </c>
      <c r="V14" s="38">
        <v>43987</v>
      </c>
      <c r="W14" s="38">
        <v>43988</v>
      </c>
      <c r="X14" s="39">
        <v>43989</v>
      </c>
      <c r="Y14" s="31"/>
    </row>
    <row r="15" spans="1:25" x14ac:dyDescent="0.25">
      <c r="A15" s="26"/>
      <c r="B15" s="40">
        <v>43927</v>
      </c>
      <c r="C15" s="38">
        <v>43928</v>
      </c>
      <c r="D15" s="38">
        <v>43929</v>
      </c>
      <c r="E15" s="38">
        <v>43930</v>
      </c>
      <c r="F15" s="38">
        <v>43931</v>
      </c>
      <c r="G15" s="38">
        <v>43932</v>
      </c>
      <c r="H15" s="39">
        <v>43933</v>
      </c>
      <c r="I15" s="35"/>
      <c r="J15" s="40">
        <v>43955</v>
      </c>
      <c r="K15" s="38">
        <v>43956</v>
      </c>
      <c r="L15" s="38">
        <v>43957</v>
      </c>
      <c r="M15" s="38">
        <v>43958</v>
      </c>
      <c r="N15" s="38">
        <v>43959</v>
      </c>
      <c r="O15" s="38">
        <v>43960</v>
      </c>
      <c r="P15" s="39">
        <v>43961</v>
      </c>
      <c r="Q15" s="35"/>
      <c r="R15" s="40">
        <v>43990</v>
      </c>
      <c r="S15" s="38">
        <v>43991</v>
      </c>
      <c r="T15" s="38">
        <v>43992</v>
      </c>
      <c r="U15" s="38">
        <v>43993</v>
      </c>
      <c r="V15" s="38">
        <v>43994</v>
      </c>
      <c r="W15" s="38">
        <v>43995</v>
      </c>
      <c r="X15" s="39">
        <v>43996</v>
      </c>
      <c r="Y15" s="31"/>
    </row>
    <row r="16" spans="1:25" x14ac:dyDescent="0.25">
      <c r="A16" s="26"/>
      <c r="B16" s="40">
        <v>43934</v>
      </c>
      <c r="C16" s="38">
        <v>43935</v>
      </c>
      <c r="D16" s="38">
        <v>43936</v>
      </c>
      <c r="E16" s="38">
        <v>43937</v>
      </c>
      <c r="F16" s="38">
        <v>43938</v>
      </c>
      <c r="G16" s="38">
        <v>43939</v>
      </c>
      <c r="H16" s="39">
        <v>43940</v>
      </c>
      <c r="I16" s="35"/>
      <c r="J16" s="40">
        <v>43962</v>
      </c>
      <c r="K16" s="38">
        <v>43963</v>
      </c>
      <c r="L16" s="38">
        <v>43964</v>
      </c>
      <c r="M16" s="38">
        <v>43965</v>
      </c>
      <c r="N16" s="38">
        <v>43966</v>
      </c>
      <c r="O16" s="38">
        <v>43967</v>
      </c>
      <c r="P16" s="39">
        <v>43968</v>
      </c>
      <c r="Q16" s="35"/>
      <c r="R16" s="40">
        <v>43997</v>
      </c>
      <c r="S16" s="38">
        <v>43998</v>
      </c>
      <c r="T16" s="38">
        <v>43999</v>
      </c>
      <c r="U16" s="38">
        <v>44000</v>
      </c>
      <c r="V16" s="38">
        <v>44001</v>
      </c>
      <c r="W16" s="38">
        <v>44002</v>
      </c>
      <c r="X16" s="39">
        <v>44003</v>
      </c>
      <c r="Y16" s="31"/>
    </row>
    <row r="17" spans="1:25" x14ac:dyDescent="0.25">
      <c r="A17" s="26"/>
      <c r="B17" s="40">
        <v>43941</v>
      </c>
      <c r="C17" s="38">
        <v>43942</v>
      </c>
      <c r="D17" s="38">
        <v>43943</v>
      </c>
      <c r="E17" s="38">
        <v>43944</v>
      </c>
      <c r="F17" s="38">
        <v>43945</v>
      </c>
      <c r="G17" s="38">
        <v>43946</v>
      </c>
      <c r="H17" s="39">
        <v>43947</v>
      </c>
      <c r="I17" s="35"/>
      <c r="J17" s="40">
        <v>43969</v>
      </c>
      <c r="K17" s="38">
        <v>43970</v>
      </c>
      <c r="L17" s="38">
        <v>43971</v>
      </c>
      <c r="M17" s="38">
        <v>43972</v>
      </c>
      <c r="N17" s="38">
        <v>43973</v>
      </c>
      <c r="O17" s="38">
        <v>43974</v>
      </c>
      <c r="P17" s="39">
        <v>43975</v>
      </c>
      <c r="Q17" s="35"/>
      <c r="R17" s="40">
        <v>44004</v>
      </c>
      <c r="S17" s="38">
        <v>44005</v>
      </c>
      <c r="T17" s="38">
        <v>44006</v>
      </c>
      <c r="U17" s="38">
        <v>44007</v>
      </c>
      <c r="V17" s="38">
        <v>44008</v>
      </c>
      <c r="W17" s="38">
        <v>44009</v>
      </c>
      <c r="X17" s="39">
        <v>44010</v>
      </c>
      <c r="Y17" s="31"/>
    </row>
    <row r="18" spans="1:25" x14ac:dyDescent="0.25">
      <c r="A18" s="26"/>
      <c r="B18" s="40">
        <v>43948</v>
      </c>
      <c r="C18" s="38">
        <v>43949</v>
      </c>
      <c r="D18" s="38">
        <v>43950</v>
      </c>
      <c r="E18" s="38">
        <v>43951</v>
      </c>
      <c r="F18" s="37"/>
      <c r="G18" s="37"/>
      <c r="H18" s="41"/>
      <c r="I18" s="35"/>
      <c r="J18" s="40">
        <v>43976</v>
      </c>
      <c r="K18" s="38">
        <v>43977</v>
      </c>
      <c r="L18" s="38">
        <v>43978</v>
      </c>
      <c r="M18" s="38">
        <v>43979</v>
      </c>
      <c r="N18" s="38">
        <v>43980</v>
      </c>
      <c r="O18" s="38">
        <v>43981</v>
      </c>
      <c r="P18" s="39">
        <v>43982</v>
      </c>
      <c r="Q18" s="35"/>
      <c r="R18" s="40">
        <v>44011</v>
      </c>
      <c r="S18" s="38">
        <v>44012</v>
      </c>
      <c r="T18" s="37"/>
      <c r="U18" s="37"/>
      <c r="V18" s="37"/>
      <c r="W18" s="37"/>
      <c r="X18" s="41"/>
      <c r="Y18" s="31"/>
    </row>
    <row r="19" spans="1:25" x14ac:dyDescent="0.25">
      <c r="A19" s="26"/>
      <c r="B19" s="42"/>
      <c r="C19" s="43"/>
      <c r="D19" s="43"/>
      <c r="E19" s="43"/>
      <c r="F19" s="43"/>
      <c r="G19" s="43"/>
      <c r="H19" s="44"/>
      <c r="I19" s="35"/>
      <c r="J19" s="42"/>
      <c r="K19" s="43"/>
      <c r="L19" s="43"/>
      <c r="M19" s="43"/>
      <c r="N19" s="43"/>
      <c r="O19" s="43"/>
      <c r="P19" s="44"/>
      <c r="Q19" s="35"/>
      <c r="R19" s="42"/>
      <c r="S19" s="43"/>
      <c r="T19" s="43"/>
      <c r="U19" s="43"/>
      <c r="V19" s="43"/>
      <c r="W19" s="43"/>
      <c r="X19" s="44"/>
      <c r="Y19" s="31"/>
    </row>
    <row r="20" spans="1:25" x14ac:dyDescent="0.25">
      <c r="A20" s="26"/>
      <c r="B20" s="47"/>
      <c r="C20" s="47"/>
      <c r="D20" s="47"/>
      <c r="E20" s="47"/>
      <c r="F20" s="47"/>
      <c r="G20" s="47"/>
      <c r="H20" s="47"/>
      <c r="I20" s="35"/>
      <c r="J20" s="47"/>
      <c r="K20" s="47"/>
      <c r="L20" s="47"/>
      <c r="M20" s="47"/>
      <c r="N20" s="47"/>
      <c r="O20" s="47"/>
      <c r="P20" s="47"/>
      <c r="Q20" s="35"/>
      <c r="R20" s="47"/>
      <c r="S20" s="47"/>
      <c r="T20" s="47"/>
      <c r="U20" s="47"/>
      <c r="V20" s="47"/>
      <c r="W20" s="47"/>
      <c r="X20" s="47"/>
      <c r="Y20" s="31"/>
    </row>
    <row r="21" spans="1:25" x14ac:dyDescent="0.25">
      <c r="A21" s="26"/>
      <c r="B21" s="235">
        <v>44013</v>
      </c>
      <c r="C21" s="236"/>
      <c r="D21" s="236"/>
      <c r="E21" s="236"/>
      <c r="F21" s="236"/>
      <c r="G21" s="236"/>
      <c r="H21" s="237"/>
      <c r="I21" s="26"/>
      <c r="J21" s="235">
        <v>44044</v>
      </c>
      <c r="K21" s="236"/>
      <c r="L21" s="236"/>
      <c r="M21" s="236"/>
      <c r="N21" s="236"/>
      <c r="O21" s="236"/>
      <c r="P21" s="237"/>
      <c r="Q21" s="26"/>
      <c r="R21" s="235">
        <v>44075</v>
      </c>
      <c r="S21" s="236"/>
      <c r="T21" s="236"/>
      <c r="U21" s="236"/>
      <c r="V21" s="236"/>
      <c r="W21" s="236"/>
      <c r="X21" s="237"/>
      <c r="Y21" s="31"/>
    </row>
    <row r="22" spans="1:25" x14ac:dyDescent="0.25">
      <c r="A22" s="26"/>
      <c r="B22" s="32" t="s">
        <v>31</v>
      </c>
      <c r="C22" s="33" t="s">
        <v>32</v>
      </c>
      <c r="D22" s="33" t="s">
        <v>40</v>
      </c>
      <c r="E22" s="33" t="s">
        <v>27</v>
      </c>
      <c r="F22" s="33" t="s">
        <v>28</v>
      </c>
      <c r="G22" s="33" t="s">
        <v>29</v>
      </c>
      <c r="H22" s="34" t="s">
        <v>30</v>
      </c>
      <c r="I22" s="35"/>
      <c r="J22" s="32" t="s">
        <v>31</v>
      </c>
      <c r="K22" s="33" t="s">
        <v>32</v>
      </c>
      <c r="L22" s="33" t="s">
        <v>40</v>
      </c>
      <c r="M22" s="33" t="s">
        <v>27</v>
      </c>
      <c r="N22" s="33" t="s">
        <v>28</v>
      </c>
      <c r="O22" s="33" t="s">
        <v>29</v>
      </c>
      <c r="P22" s="34" t="s">
        <v>30</v>
      </c>
      <c r="Q22" s="35"/>
      <c r="R22" s="32" t="s">
        <v>31</v>
      </c>
      <c r="S22" s="33" t="s">
        <v>32</v>
      </c>
      <c r="T22" s="33" t="s">
        <v>40</v>
      </c>
      <c r="U22" s="33" t="s">
        <v>27</v>
      </c>
      <c r="V22" s="33" t="s">
        <v>28</v>
      </c>
      <c r="W22" s="33" t="s">
        <v>29</v>
      </c>
      <c r="X22" s="34" t="s">
        <v>30</v>
      </c>
      <c r="Y22" s="31"/>
    </row>
    <row r="23" spans="1:25" x14ac:dyDescent="0.25">
      <c r="A23" s="26"/>
      <c r="B23" s="36"/>
      <c r="C23" s="37"/>
      <c r="D23" s="38">
        <v>44013</v>
      </c>
      <c r="E23" s="38">
        <v>44014</v>
      </c>
      <c r="F23" s="38">
        <v>44015</v>
      </c>
      <c r="G23" s="38">
        <v>44016</v>
      </c>
      <c r="H23" s="39">
        <v>44017</v>
      </c>
      <c r="I23" s="35"/>
      <c r="J23" s="36"/>
      <c r="K23" s="37"/>
      <c r="L23" s="37"/>
      <c r="M23" s="37"/>
      <c r="N23" s="37"/>
      <c r="O23" s="38">
        <v>44044</v>
      </c>
      <c r="P23" s="39">
        <v>44045</v>
      </c>
      <c r="Q23" s="35"/>
      <c r="R23" s="36"/>
      <c r="S23" s="38">
        <v>44075</v>
      </c>
      <c r="T23" s="38">
        <v>44076</v>
      </c>
      <c r="U23" s="38">
        <v>44077</v>
      </c>
      <c r="V23" s="38">
        <v>44078</v>
      </c>
      <c r="W23" s="38">
        <v>44079</v>
      </c>
      <c r="X23" s="39">
        <v>44080</v>
      </c>
      <c r="Y23" s="31"/>
    </row>
    <row r="24" spans="1:25" x14ac:dyDescent="0.25">
      <c r="A24" s="26"/>
      <c r="B24" s="40">
        <v>44018</v>
      </c>
      <c r="C24" s="38">
        <v>44019</v>
      </c>
      <c r="D24" s="38">
        <v>44020</v>
      </c>
      <c r="E24" s="38">
        <v>44021</v>
      </c>
      <c r="F24" s="38">
        <v>44022</v>
      </c>
      <c r="G24" s="38">
        <v>44023</v>
      </c>
      <c r="H24" s="39">
        <v>44024</v>
      </c>
      <c r="I24" s="35"/>
      <c r="J24" s="40">
        <v>44046</v>
      </c>
      <c r="K24" s="38">
        <v>44047</v>
      </c>
      <c r="L24" s="38">
        <v>44048</v>
      </c>
      <c r="M24" s="38">
        <v>44049</v>
      </c>
      <c r="N24" s="38">
        <v>44050</v>
      </c>
      <c r="O24" s="38">
        <v>44051</v>
      </c>
      <c r="P24" s="39">
        <v>44052</v>
      </c>
      <c r="Q24" s="35"/>
      <c r="R24" s="40">
        <v>44081</v>
      </c>
      <c r="S24" s="38">
        <v>44082</v>
      </c>
      <c r="T24" s="38">
        <v>44083</v>
      </c>
      <c r="U24" s="38">
        <v>44084</v>
      </c>
      <c r="V24" s="38">
        <v>44085</v>
      </c>
      <c r="W24" s="38">
        <v>44086</v>
      </c>
      <c r="X24" s="39">
        <v>44087</v>
      </c>
      <c r="Y24" s="31"/>
    </row>
    <row r="25" spans="1:25" x14ac:dyDescent="0.25">
      <c r="A25" s="26"/>
      <c r="B25" s="40">
        <v>44025</v>
      </c>
      <c r="C25" s="38">
        <v>44026</v>
      </c>
      <c r="D25" s="38">
        <v>44027</v>
      </c>
      <c r="E25" s="38">
        <v>44028</v>
      </c>
      <c r="F25" s="38">
        <v>44029</v>
      </c>
      <c r="G25" s="38">
        <v>44030</v>
      </c>
      <c r="H25" s="39">
        <v>44031</v>
      </c>
      <c r="I25" s="35"/>
      <c r="J25" s="40">
        <v>44053</v>
      </c>
      <c r="K25" s="38">
        <v>44054</v>
      </c>
      <c r="L25" s="38">
        <v>44055</v>
      </c>
      <c r="M25" s="38">
        <v>44056</v>
      </c>
      <c r="N25" s="38">
        <v>44057</v>
      </c>
      <c r="O25" s="38">
        <v>44058</v>
      </c>
      <c r="P25" s="39">
        <v>44059</v>
      </c>
      <c r="Q25" s="35"/>
      <c r="R25" s="40">
        <v>44088</v>
      </c>
      <c r="S25" s="38">
        <v>44089</v>
      </c>
      <c r="T25" s="38">
        <v>44090</v>
      </c>
      <c r="U25" s="38">
        <v>44091</v>
      </c>
      <c r="V25" s="38">
        <v>44092</v>
      </c>
      <c r="W25" s="38">
        <v>44093</v>
      </c>
      <c r="X25" s="39">
        <v>44094</v>
      </c>
      <c r="Y25" s="31"/>
    </row>
    <row r="26" spans="1:25" x14ac:dyDescent="0.25">
      <c r="A26" s="26"/>
      <c r="B26" s="40">
        <v>44032</v>
      </c>
      <c r="C26" s="38">
        <v>44033</v>
      </c>
      <c r="D26" s="38">
        <v>44034</v>
      </c>
      <c r="E26" s="38">
        <v>44035</v>
      </c>
      <c r="F26" s="38">
        <v>44036</v>
      </c>
      <c r="G26" s="38">
        <v>44037</v>
      </c>
      <c r="H26" s="39">
        <v>44038</v>
      </c>
      <c r="I26" s="35"/>
      <c r="J26" s="40">
        <v>44060</v>
      </c>
      <c r="K26" s="38">
        <v>44061</v>
      </c>
      <c r="L26" s="38">
        <v>44062</v>
      </c>
      <c r="M26" s="38">
        <v>44063</v>
      </c>
      <c r="N26" s="38">
        <v>44064</v>
      </c>
      <c r="O26" s="38">
        <v>44065</v>
      </c>
      <c r="P26" s="39">
        <v>44066</v>
      </c>
      <c r="Q26" s="35"/>
      <c r="R26" s="40">
        <v>44095</v>
      </c>
      <c r="S26" s="38">
        <v>44096</v>
      </c>
      <c r="T26" s="38">
        <v>44097</v>
      </c>
      <c r="U26" s="38">
        <v>44098</v>
      </c>
      <c r="V26" s="38">
        <v>44099</v>
      </c>
      <c r="W26" s="38">
        <v>44100</v>
      </c>
      <c r="X26" s="39">
        <v>44101</v>
      </c>
      <c r="Y26" s="31"/>
    </row>
    <row r="27" spans="1:25" x14ac:dyDescent="0.25">
      <c r="A27" s="26"/>
      <c r="B27" s="40">
        <v>44039</v>
      </c>
      <c r="C27" s="38">
        <v>44040</v>
      </c>
      <c r="D27" s="38">
        <v>44041</v>
      </c>
      <c r="E27" s="38">
        <v>44042</v>
      </c>
      <c r="F27" s="38">
        <v>44043</v>
      </c>
      <c r="G27" s="37"/>
      <c r="H27" s="41"/>
      <c r="I27" s="35"/>
      <c r="J27" s="40">
        <v>44067</v>
      </c>
      <c r="K27" s="38">
        <v>44068</v>
      </c>
      <c r="L27" s="38">
        <v>44069</v>
      </c>
      <c r="M27" s="38">
        <v>44070</v>
      </c>
      <c r="N27" s="38">
        <v>44071</v>
      </c>
      <c r="O27" s="38">
        <v>44072</v>
      </c>
      <c r="P27" s="39">
        <v>44073</v>
      </c>
      <c r="Q27" s="35"/>
      <c r="R27" s="40">
        <v>44102</v>
      </c>
      <c r="S27" s="38">
        <v>44103</v>
      </c>
      <c r="T27" s="38">
        <v>44104</v>
      </c>
      <c r="U27" s="37"/>
      <c r="V27" s="37"/>
      <c r="W27" s="37"/>
      <c r="X27" s="41"/>
      <c r="Y27" s="31"/>
    </row>
    <row r="28" spans="1:25" x14ac:dyDescent="0.25">
      <c r="A28" s="26"/>
      <c r="B28" s="42"/>
      <c r="C28" s="43"/>
      <c r="D28" s="43"/>
      <c r="E28" s="43"/>
      <c r="F28" s="43"/>
      <c r="G28" s="43"/>
      <c r="H28" s="44"/>
      <c r="I28" s="35"/>
      <c r="J28" s="45">
        <v>44074</v>
      </c>
      <c r="K28" s="43"/>
      <c r="L28" s="43"/>
      <c r="M28" s="43"/>
      <c r="N28" s="43"/>
      <c r="O28" s="43"/>
      <c r="P28" s="44"/>
      <c r="Q28" s="35"/>
      <c r="R28" s="42"/>
      <c r="S28" s="43"/>
      <c r="T28" s="43"/>
      <c r="U28" s="43"/>
      <c r="V28" s="43"/>
      <c r="W28" s="43"/>
      <c r="X28" s="44"/>
      <c r="Y28" s="31"/>
    </row>
    <row r="29" spans="1:25" x14ac:dyDescent="0.25">
      <c r="A29" s="26"/>
      <c r="B29" s="47"/>
      <c r="C29" s="47"/>
      <c r="D29" s="47"/>
      <c r="E29" s="47"/>
      <c r="F29" s="47"/>
      <c r="G29" s="47"/>
      <c r="H29" s="47"/>
      <c r="I29" s="35"/>
      <c r="J29" s="47"/>
      <c r="K29" s="47"/>
      <c r="L29" s="47"/>
      <c r="M29" s="47"/>
      <c r="N29" s="47"/>
      <c r="O29" s="47"/>
      <c r="P29" s="47"/>
      <c r="Q29" s="35"/>
      <c r="R29" s="47"/>
      <c r="S29" s="47"/>
      <c r="T29" s="47"/>
      <c r="U29" s="47"/>
      <c r="V29" s="47"/>
      <c r="W29" s="47"/>
      <c r="X29" s="47"/>
      <c r="Y29" s="31"/>
    </row>
    <row r="30" spans="1:25" x14ac:dyDescent="0.25">
      <c r="A30" s="26"/>
      <c r="B30" s="235">
        <v>44105</v>
      </c>
      <c r="C30" s="236"/>
      <c r="D30" s="236"/>
      <c r="E30" s="236"/>
      <c r="F30" s="236"/>
      <c r="G30" s="236"/>
      <c r="H30" s="237"/>
      <c r="I30" s="26"/>
      <c r="J30" s="235">
        <v>44136</v>
      </c>
      <c r="K30" s="236"/>
      <c r="L30" s="236"/>
      <c r="M30" s="236"/>
      <c r="N30" s="236"/>
      <c r="O30" s="236"/>
      <c r="P30" s="237"/>
      <c r="Q30" s="26"/>
      <c r="R30" s="235">
        <v>44166</v>
      </c>
      <c r="S30" s="236"/>
      <c r="T30" s="236"/>
      <c r="U30" s="236"/>
      <c r="V30" s="236"/>
      <c r="W30" s="236"/>
      <c r="X30" s="237"/>
      <c r="Y30" s="31"/>
    </row>
    <row r="31" spans="1:25" x14ac:dyDescent="0.25">
      <c r="A31" s="26"/>
      <c r="B31" s="32" t="s">
        <v>31</v>
      </c>
      <c r="C31" s="33" t="s">
        <v>32</v>
      </c>
      <c r="D31" s="33" t="s">
        <v>40</v>
      </c>
      <c r="E31" s="33" t="s">
        <v>27</v>
      </c>
      <c r="F31" s="33" t="s">
        <v>28</v>
      </c>
      <c r="G31" s="33" t="s">
        <v>29</v>
      </c>
      <c r="H31" s="34" t="s">
        <v>30</v>
      </c>
      <c r="I31" s="35"/>
      <c r="J31" s="32" t="s">
        <v>31</v>
      </c>
      <c r="K31" s="33" t="s">
        <v>32</v>
      </c>
      <c r="L31" s="33" t="s">
        <v>40</v>
      </c>
      <c r="M31" s="33" t="s">
        <v>27</v>
      </c>
      <c r="N31" s="33" t="s">
        <v>28</v>
      </c>
      <c r="O31" s="33" t="s">
        <v>29</v>
      </c>
      <c r="P31" s="34" t="s">
        <v>30</v>
      </c>
      <c r="Q31" s="35"/>
      <c r="R31" s="32" t="s">
        <v>31</v>
      </c>
      <c r="S31" s="33" t="s">
        <v>32</v>
      </c>
      <c r="T31" s="33" t="s">
        <v>40</v>
      </c>
      <c r="U31" s="33" t="s">
        <v>27</v>
      </c>
      <c r="V31" s="33" t="s">
        <v>28</v>
      </c>
      <c r="W31" s="33" t="s">
        <v>29</v>
      </c>
      <c r="X31" s="34" t="s">
        <v>30</v>
      </c>
      <c r="Y31" s="31"/>
    </row>
    <row r="32" spans="1:25" x14ac:dyDescent="0.25">
      <c r="A32" s="26"/>
      <c r="B32" s="36"/>
      <c r="C32" s="37"/>
      <c r="D32" s="37"/>
      <c r="E32" s="38">
        <v>44105</v>
      </c>
      <c r="F32" s="38">
        <v>44106</v>
      </c>
      <c r="G32" s="38">
        <v>44107</v>
      </c>
      <c r="H32" s="39">
        <v>44108</v>
      </c>
      <c r="I32" s="35"/>
      <c r="J32" s="36"/>
      <c r="K32" s="37"/>
      <c r="L32" s="37"/>
      <c r="M32" s="37"/>
      <c r="N32" s="37"/>
      <c r="O32" s="37"/>
      <c r="P32" s="39">
        <v>44136</v>
      </c>
      <c r="Q32" s="35"/>
      <c r="R32" s="36"/>
      <c r="S32" s="38">
        <v>44166</v>
      </c>
      <c r="T32" s="38">
        <v>44167</v>
      </c>
      <c r="U32" s="38">
        <v>44168</v>
      </c>
      <c r="V32" s="38">
        <v>44169</v>
      </c>
      <c r="W32" s="38">
        <v>44170</v>
      </c>
      <c r="X32" s="39">
        <v>44171</v>
      </c>
      <c r="Y32" s="31"/>
    </row>
    <row r="33" spans="1:25" x14ac:dyDescent="0.25">
      <c r="A33" s="26"/>
      <c r="B33" s="40">
        <v>44109</v>
      </c>
      <c r="C33" s="38">
        <v>44110</v>
      </c>
      <c r="D33" s="38">
        <v>44111</v>
      </c>
      <c r="E33" s="38">
        <v>44112</v>
      </c>
      <c r="F33" s="38">
        <v>44113</v>
      </c>
      <c r="G33" s="38">
        <v>44114</v>
      </c>
      <c r="H33" s="39">
        <v>44115</v>
      </c>
      <c r="I33" s="35"/>
      <c r="J33" s="40">
        <v>44137</v>
      </c>
      <c r="K33" s="38">
        <v>44138</v>
      </c>
      <c r="L33" s="38">
        <v>44139</v>
      </c>
      <c r="M33" s="38">
        <v>44140</v>
      </c>
      <c r="N33" s="38">
        <v>44141</v>
      </c>
      <c r="O33" s="38">
        <v>44142</v>
      </c>
      <c r="P33" s="39">
        <v>44143</v>
      </c>
      <c r="Q33" s="35"/>
      <c r="R33" s="40">
        <v>44172</v>
      </c>
      <c r="S33" s="38">
        <v>44173</v>
      </c>
      <c r="T33" s="38">
        <v>44174</v>
      </c>
      <c r="U33" s="38">
        <v>44175</v>
      </c>
      <c r="V33" s="38">
        <v>44176</v>
      </c>
      <c r="W33" s="38">
        <v>44177</v>
      </c>
      <c r="X33" s="39">
        <v>44178</v>
      </c>
      <c r="Y33" s="31"/>
    </row>
    <row r="34" spans="1:25" x14ac:dyDescent="0.25">
      <c r="A34" s="26"/>
      <c r="B34" s="40">
        <v>44116</v>
      </c>
      <c r="C34" s="38">
        <v>44117</v>
      </c>
      <c r="D34" s="38">
        <v>44118</v>
      </c>
      <c r="E34" s="38">
        <v>44119</v>
      </c>
      <c r="F34" s="38">
        <v>44120</v>
      </c>
      <c r="G34" s="38">
        <v>44121</v>
      </c>
      <c r="H34" s="39">
        <v>44122</v>
      </c>
      <c r="I34" s="35"/>
      <c r="J34" s="40">
        <v>44144</v>
      </c>
      <c r="K34" s="38">
        <v>44145</v>
      </c>
      <c r="L34" s="38">
        <v>44146</v>
      </c>
      <c r="M34" s="38">
        <v>44147</v>
      </c>
      <c r="N34" s="38">
        <v>44148</v>
      </c>
      <c r="O34" s="38">
        <v>44149</v>
      </c>
      <c r="P34" s="39">
        <v>44150</v>
      </c>
      <c r="Q34" s="35"/>
      <c r="R34" s="40">
        <v>44179</v>
      </c>
      <c r="S34" s="38">
        <v>44180</v>
      </c>
      <c r="T34" s="38">
        <v>44181</v>
      </c>
      <c r="U34" s="38">
        <v>44182</v>
      </c>
      <c r="V34" s="38">
        <v>44183</v>
      </c>
      <c r="W34" s="38">
        <v>44184</v>
      </c>
      <c r="X34" s="39">
        <v>44185</v>
      </c>
      <c r="Y34" s="31"/>
    </row>
    <row r="35" spans="1:25" x14ac:dyDescent="0.25">
      <c r="A35" s="26"/>
      <c r="B35" s="40">
        <v>44123</v>
      </c>
      <c r="C35" s="38">
        <v>44124</v>
      </c>
      <c r="D35" s="38">
        <v>44125</v>
      </c>
      <c r="E35" s="38">
        <v>44126</v>
      </c>
      <c r="F35" s="38">
        <v>44127</v>
      </c>
      <c r="G35" s="38">
        <v>44128</v>
      </c>
      <c r="H35" s="39">
        <v>44129</v>
      </c>
      <c r="I35" s="35"/>
      <c r="J35" s="40">
        <v>44151</v>
      </c>
      <c r="K35" s="38">
        <v>44152</v>
      </c>
      <c r="L35" s="38">
        <v>44153</v>
      </c>
      <c r="M35" s="38">
        <v>44154</v>
      </c>
      <c r="N35" s="38">
        <v>44155</v>
      </c>
      <c r="O35" s="38">
        <v>44156</v>
      </c>
      <c r="P35" s="39">
        <v>44157</v>
      </c>
      <c r="Q35" s="35"/>
      <c r="R35" s="40">
        <v>44186</v>
      </c>
      <c r="S35" s="38">
        <v>44187</v>
      </c>
      <c r="T35" s="38">
        <v>44188</v>
      </c>
      <c r="U35" s="38">
        <v>44189</v>
      </c>
      <c r="V35" s="38">
        <v>44190</v>
      </c>
      <c r="W35" s="38">
        <v>44191</v>
      </c>
      <c r="X35" s="39">
        <v>44192</v>
      </c>
      <c r="Y35" s="31"/>
    </row>
    <row r="36" spans="1:25" x14ac:dyDescent="0.25">
      <c r="A36" s="26"/>
      <c r="B36" s="40">
        <v>44130</v>
      </c>
      <c r="C36" s="38">
        <v>44131</v>
      </c>
      <c r="D36" s="38">
        <v>44132</v>
      </c>
      <c r="E36" s="38">
        <v>44133</v>
      </c>
      <c r="F36" s="38">
        <v>44134</v>
      </c>
      <c r="G36" s="38">
        <v>44135</v>
      </c>
      <c r="H36" s="41"/>
      <c r="I36" s="35"/>
      <c r="J36" s="40">
        <v>44158</v>
      </c>
      <c r="K36" s="38">
        <v>44159</v>
      </c>
      <c r="L36" s="38">
        <v>44160</v>
      </c>
      <c r="M36" s="38">
        <v>44161</v>
      </c>
      <c r="N36" s="38">
        <v>44162</v>
      </c>
      <c r="O36" s="38">
        <v>44163</v>
      </c>
      <c r="P36" s="39">
        <v>44164</v>
      </c>
      <c r="Q36" s="35"/>
      <c r="R36" s="40">
        <v>44193</v>
      </c>
      <c r="S36" s="38">
        <v>44194</v>
      </c>
      <c r="T36" s="38">
        <v>44195</v>
      </c>
      <c r="U36" s="38">
        <v>44196</v>
      </c>
      <c r="V36" s="37"/>
      <c r="W36" s="37"/>
      <c r="X36" s="41"/>
      <c r="Y36" s="31"/>
    </row>
    <row r="37" spans="1:25" x14ac:dyDescent="0.25">
      <c r="A37" s="26"/>
      <c r="B37" s="42"/>
      <c r="C37" s="43"/>
      <c r="D37" s="43"/>
      <c r="E37" s="43"/>
      <c r="F37" s="43"/>
      <c r="G37" s="43"/>
      <c r="H37" s="44"/>
      <c r="I37" s="35"/>
      <c r="J37" s="45">
        <v>44165</v>
      </c>
      <c r="K37" s="43"/>
      <c r="L37" s="43"/>
      <c r="M37" s="43"/>
      <c r="N37" s="43"/>
      <c r="O37" s="43"/>
      <c r="P37" s="44"/>
      <c r="Q37" s="35"/>
      <c r="R37" s="42"/>
      <c r="S37" s="43"/>
      <c r="T37" s="43"/>
      <c r="U37" s="43"/>
      <c r="V37" s="43"/>
      <c r="W37" s="43"/>
      <c r="X37" s="44"/>
      <c r="Y37" s="31"/>
    </row>
    <row r="38" spans="1:25" x14ac:dyDescent="0.25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spans="1:25" hidden="1" x14ac:dyDescent="0.25"/>
  </sheetData>
  <mergeCells count="13"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  <mergeCell ref="B30:H30"/>
    <mergeCell ref="J30:P30"/>
    <mergeCell ref="R30:X3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F3FDD1B-64A9-4E1E-ABE9-AAE6566ED7E4}">
            <xm:f>COUNTIFS('\Users\User\Downloads\[calendario-2020-excel-lunes-a-domingo.xlsm]Diario'!#REF!,B5,'\Users\User\Downloads\[calendario-2020-excel-lunes-a-domingo.xlsm]Diario'!#REF!,"&gt;0")</xm:f>
            <x14:dxf>
              <font>
                <color theme="0"/>
              </font>
              <fill>
                <patternFill>
                  <bgColor rgb="FF3F51B5"/>
                </patternFill>
              </fill>
            </x14:dxf>
          </x14:cfRule>
          <xm:sqref>B5:H10 J5:P10 R5:X10 B14:H19 J14:P19 R14:X19 B23:H28 J23:P28 R23:X28 B32:H37 J32:P37 R32:X37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SBC</vt:lpstr>
      <vt:lpstr>BASE G</vt:lpstr>
      <vt:lpstr>ISR Q</vt:lpstr>
      <vt:lpstr>NOMINA</vt:lpstr>
      <vt:lpstr>CUOTAS</vt:lpstr>
      <vt:lpstr>INFONAVIT</vt:lpstr>
      <vt:lpstr>FINIQUITO</vt:lpstr>
      <vt:lpstr>ISR MN</vt:lpstr>
      <vt:lpstr>Completo</vt:lpstr>
      <vt:lpstr>Completo!Área_de_impresión</vt:lpstr>
      <vt:lpstr>ISR</vt:lpstr>
      <vt:lpstr>ISRM</vt:lpstr>
      <vt:lpstr>ISRQ</vt:lpstr>
      <vt:lpstr>SUBM</vt:lpstr>
      <vt:lpstr>SUBQ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elavi</cp:lastModifiedBy>
  <dcterms:created xsi:type="dcterms:W3CDTF">2020-09-15T02:08:05Z</dcterms:created>
  <dcterms:modified xsi:type="dcterms:W3CDTF">2020-10-13T19:51:21Z</dcterms:modified>
</cp:coreProperties>
</file>