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fatryce/Documents/"/>
    </mc:Choice>
  </mc:AlternateContent>
  <xr:revisionPtr revIDLastSave="0" documentId="13_ncr:1_{086B4A1B-5F7A-604A-A6BF-DEDAF542AC1D}" xr6:coauthVersionLast="40" xr6:coauthVersionMax="40" xr10:uidLastSave="{00000000-0000-0000-0000-000000000000}"/>
  <bookViews>
    <workbookView xWindow="28800" yWindow="460" windowWidth="38400" windowHeight="21140" xr2:uid="{0A39363D-3DF5-1540-B171-5E7F2644C9AA}"/>
  </bookViews>
  <sheets>
    <sheet name="BOM Maapilim" sheetId="1" r:id="rId1"/>
    <sheet name="Oil bottles" sheetId="5" r:id="rId2"/>
    <sheet name="Pomade packs" sheetId="2" r:id="rId3"/>
    <sheet name="Seals" sheetId="4" r:id="rId4"/>
    <sheet name="Combs" sheetId="7" r:id="rId5"/>
    <sheet name="Sticker per pack" sheetId="6" r:id="rId6"/>
    <sheet name="Shifon" sheetId="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0" i="1" l="1"/>
  <c r="X20" i="1"/>
  <c r="Y16" i="1"/>
  <c r="Y17" i="1" s="1"/>
  <c r="X16" i="1"/>
  <c r="X17" i="1" s="1"/>
  <c r="Y15" i="1"/>
  <c r="X15" i="1"/>
  <c r="Y7" i="1"/>
  <c r="X7" i="1"/>
  <c r="C7" i="7"/>
  <c r="B7" i="7"/>
  <c r="M8" i="1"/>
  <c r="G8" i="1"/>
  <c r="E15" i="1"/>
  <c r="E16" i="1" s="1"/>
  <c r="E17" i="1" s="1"/>
  <c r="E20" i="1" s="1"/>
  <c r="D15" i="1"/>
  <c r="D16" i="1" s="1"/>
  <c r="D17" i="1" s="1"/>
  <c r="D20" i="1" s="1"/>
  <c r="E12" i="1"/>
  <c r="D12" i="1"/>
  <c r="E11" i="1"/>
  <c r="C11" i="1"/>
  <c r="D11" i="1"/>
  <c r="AB10" i="1"/>
  <c r="AA10" i="1"/>
  <c r="Z10" i="1"/>
  <c r="AC8" i="1"/>
  <c r="AH9" i="1"/>
  <c r="AH15" i="1" s="1"/>
  <c r="AI9" i="1"/>
  <c r="AJ9" i="1"/>
  <c r="AK9" i="1"/>
  <c r="AD9" i="1"/>
  <c r="AE9" i="1"/>
  <c r="AF9" i="1"/>
  <c r="AG9" i="1"/>
  <c r="AL9" i="1"/>
  <c r="C7" i="5"/>
  <c r="B8" i="5"/>
  <c r="B7" i="5"/>
  <c r="B6" i="5"/>
  <c r="AG8" i="1"/>
  <c r="AF8" i="1"/>
  <c r="AE8" i="1"/>
  <c r="AI8" i="1"/>
  <c r="AD8" i="1"/>
  <c r="AH8" i="1"/>
  <c r="AE12" i="1"/>
  <c r="AD12" i="1"/>
  <c r="AE11" i="1"/>
  <c r="AD11" i="1"/>
  <c r="AF15" i="1"/>
  <c r="AF12" i="1"/>
  <c r="AF11" i="1"/>
  <c r="E11" i="5"/>
  <c r="F11" i="5" s="1"/>
  <c r="AL8" i="1"/>
  <c r="AJ8" i="1"/>
  <c r="AK8" i="1"/>
  <c r="AJ12" i="1"/>
  <c r="AI12" i="1"/>
  <c r="AH12" i="1"/>
  <c r="AJ11" i="1"/>
  <c r="AI11" i="1"/>
  <c r="AH11" i="1"/>
  <c r="AO8" i="1"/>
  <c r="AO15" i="1" s="1"/>
  <c r="AO16" i="1" s="1"/>
  <c r="AO17" i="1" s="1"/>
  <c r="AO20" i="1" s="1"/>
  <c r="AR8" i="1"/>
  <c r="AR15" i="1" s="1"/>
  <c r="AR16" i="1" s="1"/>
  <c r="AR17" i="1" s="1"/>
  <c r="AR20" i="1" s="1"/>
  <c r="AS8" i="1"/>
  <c r="AS15" i="1" s="1"/>
  <c r="AS16" i="1" s="1"/>
  <c r="AS17" i="1" s="1"/>
  <c r="AS20" i="1" s="1"/>
  <c r="AW8" i="1"/>
  <c r="AW15" i="1" s="1"/>
  <c r="AW16" i="1" s="1"/>
  <c r="AW17" i="1" s="1"/>
  <c r="AW20" i="1" s="1"/>
  <c r="AX8" i="1"/>
  <c r="AX15" i="1" s="1"/>
  <c r="AX16" i="1" s="1"/>
  <c r="AX17" i="1" s="1"/>
  <c r="AX20" i="1" s="1"/>
  <c r="AX10" i="1"/>
  <c r="AX11" i="1"/>
  <c r="AX12" i="1"/>
  <c r="AX9" i="1"/>
  <c r="AM12" i="1"/>
  <c r="AM11" i="1"/>
  <c r="P12" i="1"/>
  <c r="P11" i="1"/>
  <c r="Q12" i="1"/>
  <c r="Q11" i="1"/>
  <c r="R12" i="1"/>
  <c r="R11" i="1"/>
  <c r="Z12" i="1"/>
  <c r="Z11" i="1"/>
  <c r="AA12" i="1"/>
  <c r="AA11" i="1"/>
  <c r="AB12" i="1"/>
  <c r="AB11" i="1"/>
  <c r="AC12" i="1"/>
  <c r="AC11" i="1"/>
  <c r="AL12" i="1"/>
  <c r="AK12" i="1"/>
  <c r="AG12" i="1"/>
  <c r="AL11" i="1"/>
  <c r="AK11" i="1"/>
  <c r="AG11" i="1"/>
  <c r="Z20" i="1"/>
  <c r="AB20" i="1"/>
  <c r="AA20" i="1"/>
  <c r="AM20" i="1"/>
  <c r="AU15" i="1"/>
  <c r="AU16" i="1" s="1"/>
  <c r="AU17" i="1" s="1"/>
  <c r="AU20" i="1" s="1"/>
  <c r="AT15" i="1"/>
  <c r="AT16" i="1" s="1"/>
  <c r="AT17" i="1" s="1"/>
  <c r="AT20" i="1" s="1"/>
  <c r="AQ15" i="1"/>
  <c r="AQ16" i="1" s="1"/>
  <c r="AQ17" i="1" s="1"/>
  <c r="AQ20" i="1" s="1"/>
  <c r="AP15" i="1"/>
  <c r="AP16" i="1" s="1"/>
  <c r="AP17" i="1" s="1"/>
  <c r="AP20" i="1" s="1"/>
  <c r="AN15" i="1"/>
  <c r="AN16" i="1" s="1"/>
  <c r="AN17" i="1" s="1"/>
  <c r="AN20" i="1" s="1"/>
  <c r="AV12" i="1"/>
  <c r="AV11" i="1"/>
  <c r="AV8" i="1"/>
  <c r="AC15" i="1" l="1"/>
  <c r="AC16" i="1" s="1"/>
  <c r="AC17" i="1" s="1"/>
  <c r="AC20" i="1" s="1"/>
  <c r="AK15" i="1"/>
  <c r="AK16" i="1" s="1"/>
  <c r="AK17" i="1" s="1"/>
  <c r="AK20" i="1" s="1"/>
  <c r="AD15" i="1"/>
  <c r="AF16" i="1"/>
  <c r="AF17" i="1" s="1"/>
  <c r="AF20" i="1" s="1"/>
  <c r="AL15" i="1"/>
  <c r="AL16" i="1" s="1"/>
  <c r="AL17" i="1" s="1"/>
  <c r="AL20" i="1" s="1"/>
  <c r="AG15" i="1"/>
  <c r="AG16" i="1" s="1"/>
  <c r="AG17" i="1" s="1"/>
  <c r="AG20" i="1" s="1"/>
  <c r="AD16" i="1"/>
  <c r="AD17" i="1" s="1"/>
  <c r="AD20" i="1" s="1"/>
  <c r="AE15" i="1"/>
  <c r="AE16" i="1" s="1"/>
  <c r="AE17" i="1" s="1"/>
  <c r="AE20" i="1" s="1"/>
  <c r="AH16" i="1"/>
  <c r="AH17" i="1" s="1"/>
  <c r="AH20" i="1" s="1"/>
  <c r="AJ15" i="1"/>
  <c r="AJ16" i="1" s="1"/>
  <c r="AJ17" i="1" s="1"/>
  <c r="AJ20" i="1" s="1"/>
  <c r="AI15" i="1"/>
  <c r="AI16" i="1" s="1"/>
  <c r="AI17" i="1" s="1"/>
  <c r="AI20" i="1" s="1"/>
  <c r="I8" i="1" l="1"/>
  <c r="I15" i="1" s="1"/>
  <c r="I16" i="1" s="1"/>
  <c r="I17" i="1" s="1"/>
  <c r="I20" i="1" s="1"/>
  <c r="S9" i="1"/>
  <c r="H14" i="1"/>
  <c r="G12" i="1"/>
  <c r="G11" i="1"/>
  <c r="E9" i="4"/>
  <c r="E10" i="4" s="1"/>
  <c r="C4" i="4"/>
  <c r="E4" i="4" s="1"/>
  <c r="C3" i="4"/>
  <c r="C2" i="4"/>
  <c r="E2" i="4" s="1"/>
  <c r="AV9" i="1" l="1"/>
  <c r="AV15" i="1"/>
  <c r="AV16" i="1" s="1"/>
  <c r="AV17" i="1" s="1"/>
  <c r="AV20" i="1" s="1"/>
  <c r="E3" i="4"/>
  <c r="C3" i="2"/>
  <c r="B3" i="2" s="1"/>
  <c r="U9" i="1" l="1"/>
  <c r="T9" i="1"/>
  <c r="W12" i="1" l="1"/>
  <c r="W11" i="1"/>
  <c r="W9" i="1"/>
  <c r="V15" i="1"/>
  <c r="V14" i="1"/>
  <c r="V9" i="1"/>
  <c r="V16" i="1" l="1"/>
  <c r="V17" i="1" s="1"/>
  <c r="V20" i="1" s="1"/>
  <c r="W15" i="1"/>
  <c r="W16" i="1" s="1"/>
  <c r="W17" i="1" s="1"/>
  <c r="W20" i="1" s="1"/>
  <c r="S10" i="1"/>
  <c r="C12" i="1"/>
  <c r="F12" i="1"/>
  <c r="U11" i="1" l="1"/>
  <c r="T11" i="1"/>
  <c r="F11" i="1"/>
  <c r="B11" i="1"/>
  <c r="U12" i="1" l="1"/>
  <c r="U15" i="1"/>
  <c r="U13" i="1"/>
  <c r="T13" i="1"/>
  <c r="T12" i="1"/>
  <c r="T15" i="1"/>
  <c r="S15" i="1"/>
  <c r="S16" i="1" s="1"/>
  <c r="S17" i="1" s="1"/>
  <c r="S20" i="1" s="1"/>
  <c r="U16" i="1" l="1"/>
  <c r="U17" i="1" s="1"/>
  <c r="U20" i="1" s="1"/>
  <c r="T16" i="1"/>
  <c r="T17" i="1" s="1"/>
  <c r="T20" i="1" s="1"/>
  <c r="R8" i="1"/>
  <c r="R15" i="1" s="1"/>
  <c r="R16" i="1" s="1"/>
  <c r="R17" i="1" s="1"/>
  <c r="R20" i="1" s="1"/>
  <c r="Q8" i="1"/>
  <c r="Q15" i="1" s="1"/>
  <c r="Q16" i="1" s="1"/>
  <c r="Q17" i="1" s="1"/>
  <c r="Q20" i="1" s="1"/>
  <c r="P8" i="1"/>
  <c r="P15" i="1" s="1"/>
  <c r="P16" i="1" s="1"/>
  <c r="P17" i="1" s="1"/>
  <c r="P20" i="1" s="1"/>
  <c r="L23" i="1"/>
  <c r="L7" i="1"/>
  <c r="O15" i="1"/>
  <c r="O16" i="1" s="1"/>
  <c r="O17" i="1" s="1"/>
  <c r="N15" i="1"/>
  <c r="N16" i="1" s="1"/>
  <c r="N17" i="1" s="1"/>
  <c r="M15" i="1"/>
  <c r="M16" i="1" s="1"/>
  <c r="M17" i="1" s="1"/>
  <c r="K15" i="1"/>
  <c r="K16" i="1" s="1"/>
  <c r="K17" i="1" s="1"/>
  <c r="K20" i="1" s="1"/>
  <c r="J15" i="1"/>
  <c r="J16" i="1" s="1"/>
  <c r="J17" i="1" s="1"/>
  <c r="J20" i="1" s="1"/>
  <c r="H9" i="1"/>
  <c r="H15" i="1" s="1"/>
  <c r="F10" i="1"/>
  <c r="B12" i="1"/>
  <c r="C10" i="1"/>
  <c r="B10" i="1"/>
  <c r="C2" i="2"/>
  <c r="E9" i="1" l="1"/>
  <c r="D9" i="1"/>
  <c r="C9" i="1"/>
  <c r="C15" i="1" s="1"/>
  <c r="C16" i="1" s="1"/>
  <c r="F9" i="1"/>
  <c r="F15" i="1" s="1"/>
  <c r="B9" i="1"/>
  <c r="B15" i="1" s="1"/>
  <c r="B16" i="1" s="1"/>
  <c r="G9" i="1"/>
  <c r="H16" i="1"/>
  <c r="H17" i="1" s="1"/>
  <c r="H20" i="1" s="1"/>
  <c r="L15" i="1"/>
  <c r="L16" i="1" s="1"/>
  <c r="L17" i="1" s="1"/>
  <c r="G15" i="1" l="1"/>
  <c r="G16" i="1" s="1"/>
  <c r="G17" i="1" s="1"/>
  <c r="G20" i="1" s="1"/>
  <c r="L25" i="1"/>
  <c r="L27" i="1" s="1"/>
  <c r="L20" i="1"/>
  <c r="F16" i="1"/>
  <c r="F17" i="1" s="1"/>
  <c r="F20" i="1" s="1"/>
  <c r="B17" i="1"/>
  <c r="B20" i="1" s="1"/>
  <c r="C17" i="1"/>
  <c r="C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Yifat Ryce</author>
  </authors>
  <commentList>
    <comment ref="T3" authorId="0" shapeId="0" xr:uid="{950FED6C-7343-694C-931E-AED38F162F52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לעדכן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למחיר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עם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אטם</t>
        </r>
        <r>
          <rPr>
            <sz val="10"/>
            <color rgb="FF000000"/>
            <rFont val="Tahoma"/>
            <family val="2"/>
          </rPr>
          <t xml:space="preserve">  </t>
        </r>
        <r>
          <rPr>
            <sz val="10"/>
            <color rgb="FF000000"/>
            <rFont val="Tahoma"/>
            <family val="2"/>
          </rPr>
          <t>שלנו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מסין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אם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הוא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טוב</t>
        </r>
      </text>
    </comment>
    <comment ref="P8" authorId="0" shapeId="0" xr:uid="{8C591365-10D6-1040-B42E-D26D40D80DC5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2%</t>
        </r>
      </text>
    </comment>
    <comment ref="Q8" authorId="0" shapeId="0" xr:uid="{96935315-ABA4-4B40-9540-5133EE112FD7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2%</t>
        </r>
      </text>
    </comment>
    <comment ref="R8" authorId="0" shapeId="0" xr:uid="{B6F7B2D3-C327-F649-8897-7DD78E301387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2%</t>
        </r>
      </text>
    </comment>
    <comment ref="S8" authorId="0" shapeId="0" xr:uid="{B55DB786-096F-2548-A0BA-45A8FADEC104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Black tea</t>
        </r>
      </text>
    </comment>
    <comment ref="AO8" authorId="0" shapeId="0" xr:uid="{A62B4541-74D9-E846-A70F-4F86D4531190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לוודא עם עופר % והאם אנחנו משלמים</t>
        </r>
      </text>
    </comment>
    <comment ref="AR8" authorId="0" shapeId="0" xr:uid="{6D62C38E-0D9C-8344-856D-8AF48E44795B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לוודא עם עופר % והאם אנחנו משלמים</t>
        </r>
      </text>
    </comment>
    <comment ref="AS8" authorId="0" shapeId="0" xr:uid="{8973A8E4-E828-0149-B991-D91278F9EFB4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לוודא עם עופר % והאם אנחנו משלמים</t>
        </r>
      </text>
    </comment>
    <comment ref="AV8" authorId="0" shapeId="0" xr:uid="{75114BA6-FC03-0A47-AA5F-783265D2368F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לפי בקשה של אבי להזמין חצי קילו עבור 400 יחידות</t>
        </r>
      </text>
    </comment>
    <comment ref="AX8" authorId="0" shapeId="0" xr:uid="{038D8BBD-9FDC-A84A-AFCB-425BBEA3CF88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הערכה לפי מחיר סבון פנים. לעדכן בהזמנה הקרובה</t>
        </r>
      </text>
    </comment>
    <comment ref="H9" authorId="0" shapeId="0" xr:uid="{CCEEFD63-013C-524C-8396-0F1D09642AC6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בקבוק</t>
        </r>
        <r>
          <rPr>
            <sz val="10"/>
            <color rgb="FF000000"/>
            <rFont val="Tahoma"/>
            <family val="2"/>
          </rPr>
          <t xml:space="preserve"> + </t>
        </r>
        <r>
          <rPr>
            <sz val="10"/>
            <color rgb="FF000000"/>
            <rFont val="Tahoma"/>
            <family val="2"/>
          </rPr>
          <t>משאבה</t>
        </r>
      </text>
    </comment>
    <comment ref="S9" authorId="0" shapeId="0" xr:uid="{9BA0C467-BC20-114E-B82C-F653BAACBCCB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0.4 bottle
</t>
        </r>
        <r>
          <rPr>
            <sz val="10"/>
            <color rgb="FF000000"/>
            <rFont val="Tahoma"/>
            <family val="2"/>
          </rPr>
          <t>XX cap</t>
        </r>
      </text>
    </comment>
    <comment ref="T9" authorId="0" shapeId="0" xr:uid="{1F34F53E-BF6E-D14A-8F0F-D25DB3E85DAB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מבוסס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על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הזמנה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 </t>
        </r>
        <r>
          <rPr>
            <sz val="10"/>
            <color rgb="FF000000"/>
            <rFont val="Tahoma"/>
            <family val="2"/>
          </rPr>
          <t>נטליה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מהוברמן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מתאריך</t>
        </r>
        <r>
          <rPr>
            <sz val="10"/>
            <color rgb="FF000000"/>
            <rFont val="Tahoma"/>
            <family val="2"/>
          </rPr>
          <t xml:space="preserve"> 04/10
</t>
        </r>
        <r>
          <rPr>
            <sz val="10"/>
            <color rgb="FF000000"/>
            <rFont val="Tahoma"/>
            <family val="2"/>
          </rPr>
          <t>צנצנת</t>
        </r>
        <r>
          <rPr>
            <sz val="10"/>
            <color rgb="FF000000"/>
            <rFont val="Tahoma"/>
            <family val="2"/>
          </rPr>
          <t xml:space="preserve"> + </t>
        </r>
        <r>
          <rPr>
            <sz val="10"/>
            <color rgb="FF000000"/>
            <rFont val="Tahoma"/>
            <family val="2"/>
          </rPr>
          <t>מכסה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וסגר</t>
        </r>
        <r>
          <rPr>
            <sz val="10"/>
            <color rgb="FF000000"/>
            <rFont val="Tahoma"/>
            <family val="2"/>
          </rPr>
          <t xml:space="preserve"> + </t>
        </r>
        <r>
          <rPr>
            <sz val="10"/>
            <color rgb="FF000000"/>
            <rFont val="Tahoma"/>
            <family val="2"/>
          </rPr>
          <t>אטם</t>
        </r>
      </text>
    </comment>
    <comment ref="U9" authorId="0" shapeId="0" xr:uid="{92E6CD8C-BC3A-7C43-8CD7-DFC152AFFECF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מבוסס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על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הזמנה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 </t>
        </r>
        <r>
          <rPr>
            <sz val="10"/>
            <color rgb="FF000000"/>
            <rFont val="Tahoma"/>
            <family val="2"/>
          </rPr>
          <t>נטליה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מהוברמן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מתאריך</t>
        </r>
        <r>
          <rPr>
            <sz val="10"/>
            <color rgb="FF000000"/>
            <rFont val="Tahoma"/>
            <family val="2"/>
          </rPr>
          <t xml:space="preserve"> 04/10
</t>
        </r>
        <r>
          <rPr>
            <sz val="10"/>
            <color rgb="FF000000"/>
            <rFont val="Tahoma"/>
            <family val="2"/>
          </rPr>
          <t>צנצנת</t>
        </r>
        <r>
          <rPr>
            <sz val="10"/>
            <color rgb="FF000000"/>
            <rFont val="Tahoma"/>
            <family val="2"/>
          </rPr>
          <t xml:space="preserve"> + </t>
        </r>
        <r>
          <rPr>
            <sz val="10"/>
            <color rgb="FF000000"/>
            <rFont val="Tahoma"/>
            <family val="2"/>
          </rPr>
          <t>מכסה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וסגר</t>
        </r>
        <r>
          <rPr>
            <sz val="10"/>
            <color rgb="FF000000"/>
            <rFont val="Tahoma"/>
            <family val="2"/>
          </rPr>
          <t xml:space="preserve"> + </t>
        </r>
        <r>
          <rPr>
            <sz val="10"/>
            <color rgb="FF000000"/>
            <rFont val="Tahoma"/>
            <family val="2"/>
          </rPr>
          <t>אטם</t>
        </r>
      </text>
    </comment>
    <comment ref="V9" authorId="0" shapeId="0" xr:uid="{A140C222-5B16-654F-8993-DEE0CE51A3BC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בקבוק</t>
        </r>
        <r>
          <rPr>
            <sz val="10"/>
            <color rgb="FF000000"/>
            <rFont val="Tahoma"/>
            <family val="2"/>
          </rPr>
          <t xml:space="preserve"> + </t>
        </r>
        <r>
          <rPr>
            <sz val="10"/>
            <color rgb="FF000000"/>
            <rFont val="Tahoma"/>
            <family val="2"/>
          </rPr>
          <t>משאבה</t>
        </r>
      </text>
    </comment>
    <comment ref="W9" authorId="0" shapeId="0" xr:uid="{5B568455-77E0-F047-AC34-9B9B5E9135C5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מבוסס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על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הזמנה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 </t>
        </r>
        <r>
          <rPr>
            <sz val="10"/>
            <color rgb="FF000000"/>
            <rFont val="Tahoma"/>
            <family val="2"/>
          </rPr>
          <t>נטליה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מהוברמן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מתאריך</t>
        </r>
        <r>
          <rPr>
            <sz val="10"/>
            <color rgb="FF000000"/>
            <rFont val="Tahoma"/>
            <family val="2"/>
          </rPr>
          <t xml:space="preserve"> 04/10
</t>
        </r>
        <r>
          <rPr>
            <sz val="10"/>
            <color rgb="FF000000"/>
            <rFont val="Tahoma"/>
            <family val="2"/>
          </rPr>
          <t>צנצנת</t>
        </r>
        <r>
          <rPr>
            <sz val="10"/>
            <color rgb="FF000000"/>
            <rFont val="Tahoma"/>
            <family val="2"/>
          </rPr>
          <t xml:space="preserve"> + </t>
        </r>
        <r>
          <rPr>
            <sz val="10"/>
            <color rgb="FF000000"/>
            <rFont val="Tahoma"/>
            <family val="2"/>
          </rPr>
          <t>מכסה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וסגר</t>
        </r>
        <r>
          <rPr>
            <sz val="10"/>
            <color rgb="FF000000"/>
            <rFont val="Tahoma"/>
            <family val="2"/>
          </rPr>
          <t xml:space="preserve"> + </t>
        </r>
        <r>
          <rPr>
            <sz val="10"/>
            <color rgb="FF000000"/>
            <rFont val="Tahoma"/>
            <family val="2"/>
          </rPr>
          <t>אטם</t>
        </r>
      </text>
    </comment>
    <comment ref="AV9" authorId="0" shapeId="0" xr:uid="{DE7A07A2-3C17-E043-ACB8-995E0217C2E0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הזמנה מיאנה ב-24.12</t>
        </r>
      </text>
    </comment>
    <comment ref="S10" authorId="0" shapeId="0" xr:uid="{8E558A91-0895-3A4D-994C-9032F55E63CB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אבינועם</t>
        </r>
        <r>
          <rPr>
            <sz val="10"/>
            <color rgb="FF000000"/>
            <rFont val="Tahoma"/>
            <family val="2"/>
          </rPr>
          <t xml:space="preserve"> 22/11</t>
        </r>
      </text>
    </comment>
    <comment ref="P11" authorId="0" shapeId="0" xr:uid="{BA9FA389-A79E-2943-9439-A5FD46C1474A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הערכה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לפי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אותו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קייס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פומידים</t>
        </r>
      </text>
    </comment>
    <comment ref="Q11" authorId="0" shapeId="0" xr:uid="{7D35D384-EEEA-4C47-B91C-83DD09BFBDB4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הערכה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לפי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אותו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קייס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פומידים</t>
        </r>
      </text>
    </comment>
    <comment ref="R11" authorId="0" shapeId="0" xr:uid="{0585B022-84AC-E046-AACF-451FB0E090F0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הערכה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לפי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אותו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קייס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פומידים</t>
        </r>
      </text>
    </comment>
    <comment ref="Z11" authorId="0" shapeId="0" xr:uid="{BC66407D-5673-9F42-969A-166ECE5CE050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הערכה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לפי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אותו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קייס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פומידים</t>
        </r>
      </text>
    </comment>
    <comment ref="AA11" authorId="0" shapeId="0" xr:uid="{C5E9FFE2-87EB-D241-AFF0-E83BF7EF914C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הערכה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לפי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אותו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קייס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פומידים</t>
        </r>
      </text>
    </comment>
    <comment ref="AB11" authorId="0" shapeId="0" xr:uid="{17ACE7BF-16B7-BE41-860B-00B5483E9BA5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הערכה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לפי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אותו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קייס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פומידים</t>
        </r>
      </text>
    </comment>
    <comment ref="AC11" authorId="0" shapeId="0" xr:uid="{7854C074-57DC-D745-8C1C-89754C4FFD93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הערכה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לפי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אותו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קייס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פומידים</t>
        </r>
      </text>
    </comment>
    <comment ref="AD11" authorId="0" shapeId="0" xr:uid="{18297A1C-2D70-9747-B83E-A406959788E0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הערכה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לפי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אותו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קייס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פומידים</t>
        </r>
      </text>
    </comment>
    <comment ref="AE11" authorId="0" shapeId="0" xr:uid="{C9328F0E-B204-B040-AAD5-84469BFC39FA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הערכה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לפי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אותו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קייס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פומידים</t>
        </r>
      </text>
    </comment>
    <comment ref="AF11" authorId="0" shapeId="0" xr:uid="{CA56F7E8-7A8D-A644-B402-E930F195CD4C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הערכה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לפי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אותו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קייס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פומידים</t>
        </r>
      </text>
    </comment>
    <comment ref="AG11" authorId="0" shapeId="0" xr:uid="{4CDC35D7-7E25-894C-A20B-9FE93F928A7A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הערכה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לפי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אותו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קייס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פומידים</t>
        </r>
      </text>
    </comment>
    <comment ref="AH11" authorId="0" shapeId="0" xr:uid="{A6C9A4FD-86A7-B846-B848-AAB57D41E59E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הערכה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לפי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אותו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קייס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פומידים</t>
        </r>
      </text>
    </comment>
    <comment ref="AI11" authorId="0" shapeId="0" xr:uid="{D7E8253A-6D0F-C74E-B1CC-3166CD344E2B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הערכה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לפי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אותו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קייס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פומידים</t>
        </r>
      </text>
    </comment>
    <comment ref="AJ11" authorId="0" shapeId="0" xr:uid="{72597F5B-C7DC-8044-B1B2-DBD79F39E399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הערכה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לפי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אותו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קייס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פומידים</t>
        </r>
      </text>
    </comment>
    <comment ref="AK11" authorId="0" shapeId="0" xr:uid="{3ADF18E0-F883-4E49-BE49-A0E29C872ACD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הערכה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לפי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אותו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קייס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פומידים</t>
        </r>
      </text>
    </comment>
    <comment ref="AL11" authorId="0" shapeId="0" xr:uid="{D3B6D017-00AC-DD40-96FD-2068F4376C72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הערכה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לפי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אותו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קייס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פומידים</t>
        </r>
      </text>
    </comment>
    <comment ref="AM11" authorId="0" shapeId="0" xr:uid="{335CFD32-34C6-3248-94D6-1358F5058828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הערכה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לפי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אותו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קייס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פומידים</t>
        </r>
      </text>
    </comment>
    <comment ref="AV11" authorId="0" shapeId="0" xr:uid="{FD18DF4E-ADE7-5B4B-B664-66D22BEC111D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הערכה לפי אותו מחיר של קייס פומידים</t>
        </r>
      </text>
    </comment>
    <comment ref="B12" authorId="0" shapeId="0" xr:uid="{C12B779B-6D08-7345-8EB5-40019D359A8B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C12" authorId="0" shapeId="0" xr:uid="{7A2FCB75-C5F4-6F43-9747-007B3A96A3A5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D12" authorId="0" shapeId="0" xr:uid="{F7DFEF19-1FB7-DA4F-8010-43DBFF1C2F1B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E12" authorId="0" shapeId="0" xr:uid="{08C6E0A9-0314-A943-8E12-B8932E515C61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F12" authorId="0" shapeId="0" xr:uid="{D44812A7-8254-0E46-8A0D-73D43BFC4827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G12" authorId="0" shapeId="0" xr:uid="{F09EDB83-0B25-274E-9BF4-45A02C1934DA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P12" authorId="0" shapeId="0" xr:uid="{2CDDD473-5893-0E4F-A3FB-27F38FB4FD8A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Q12" authorId="0" shapeId="0" xr:uid="{600D94EE-81E3-7A47-A1D7-69D9D029AE2E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R12" authorId="0" shapeId="0" xr:uid="{92AE097C-6880-754A-A8D3-93DB087F6C0A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T12" authorId="0" shapeId="0" xr:uid="{FCF967FA-449C-1E46-878A-5B75FB54D82E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U12" authorId="0" shapeId="0" xr:uid="{4AED37A5-DCFB-034E-BEEE-6C24EB6CD04D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Tahoma"/>
            <family val="2"/>
          </rPr>
          <t xml:space="preserve">4 </t>
        </r>
        <r>
          <rPr>
            <sz val="10"/>
            <color rgb="FF000000"/>
            <rFont val="Tahoma"/>
            <family val="2"/>
          </rPr>
          <t>קייסים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במסטר</t>
        </r>
      </text>
    </comment>
    <comment ref="W12" authorId="0" shapeId="0" xr:uid="{1EDDD9B3-7F78-2A4B-9A19-D7B3133087D9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Tahoma"/>
            <family val="2"/>
          </rPr>
          <t xml:space="preserve">4 </t>
        </r>
        <r>
          <rPr>
            <sz val="10"/>
            <color rgb="FF000000"/>
            <rFont val="Tahoma"/>
            <family val="2"/>
          </rPr>
          <t>קייסים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במסטר</t>
        </r>
      </text>
    </comment>
    <comment ref="Z12" authorId="0" shapeId="0" xr:uid="{9DBA174F-20F1-1347-B1CA-765FD4F88FEB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AA12" authorId="0" shapeId="0" xr:uid="{8CB57AB3-116E-1E48-A5C6-91AB2A1B17EC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AB12" authorId="0" shapeId="0" xr:uid="{871FE47B-FEB4-9541-BDBC-A010619D7FC6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AC12" authorId="0" shapeId="0" xr:uid="{B59B5067-81E0-1A4A-84AC-68652FCE98EC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AD12" authorId="0" shapeId="0" xr:uid="{10286263-C6EF-894D-83E7-DBAD3FEECBD4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AE12" authorId="0" shapeId="0" xr:uid="{5047C31C-46A6-4840-92B1-ACDB94006205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AF12" authorId="0" shapeId="0" xr:uid="{70BC77E8-A4EF-F748-9747-7AC9CFA470C8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AG12" authorId="0" shapeId="0" xr:uid="{64B226AF-2778-6B41-B018-9181EE703DCB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AH12" authorId="0" shapeId="0" xr:uid="{D974C3FE-815C-CD40-8B44-2905D06A21E8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AI12" authorId="0" shapeId="0" xr:uid="{7BBD5F60-38ED-DB40-A5AF-E17DD36DD1D9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AJ12" authorId="0" shapeId="0" xr:uid="{5FED8554-8CC6-7C4A-B1E1-0B1E5567D9C4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AK12" authorId="0" shapeId="0" xr:uid="{CC6FFBF6-34EF-CC4C-9BCC-CDE7F3707FB4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AL12" authorId="0" shapeId="0" xr:uid="{62958AB0-3AA1-5C4F-9019-7F4BBA6C42FA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AM12" authorId="0" shapeId="0" xr:uid="{0C86F21A-129F-8F4D-BFE6-49A2CA7280BC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AV12" authorId="0" shapeId="0" xr:uid="{0DB299AA-54C8-0641-891F-4763FC3B1779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הצעת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מחיר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ראשונית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מדני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בטאט</t>
        </r>
      </text>
    </comment>
    <comment ref="T13" authorId="0" shapeId="0" xr:uid="{C37D7A64-871A-2149-B4AA-96D3533B72E7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מבוסס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על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הזמנה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ג׳י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וי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עבור</t>
        </r>
        <r>
          <rPr>
            <sz val="10"/>
            <color rgb="FF000000"/>
            <rFont val="Tahoma"/>
            <family val="2"/>
          </rPr>
          <t xml:space="preserve"> 1000 </t>
        </r>
        <r>
          <rPr>
            <sz val="10"/>
            <color rgb="FF000000"/>
            <rFont val="Tahoma"/>
            <family val="2"/>
          </rPr>
          <t>קרם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ידיים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ו</t>
        </r>
        <r>
          <rPr>
            <sz val="10"/>
            <color rgb="FF000000"/>
            <rFont val="Tahoma"/>
            <family val="2"/>
          </rPr>
          <t xml:space="preserve">-1000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קרם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פנים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Tahoma"/>
            <family val="2"/>
          </rPr>
          <t>תמצית רוזמרין</t>
        </r>
      </text>
    </comment>
    <comment ref="U13" authorId="0" shapeId="0" xr:uid="{F044AFED-338D-004A-8FB5-78FB03298ED7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מבוסס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על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הזמנה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ראשונה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ג׳י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וי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עבור</t>
        </r>
        <r>
          <rPr>
            <sz val="10"/>
            <color rgb="FF000000"/>
            <rFont val="Tahoma"/>
            <family val="2"/>
          </rPr>
          <t xml:space="preserve"> 1000 </t>
        </r>
        <r>
          <rPr>
            <sz val="10"/>
            <color rgb="FF000000"/>
            <rFont val="Tahoma"/>
            <family val="2"/>
          </rPr>
          <t>קרם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ידיים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ו</t>
        </r>
        <r>
          <rPr>
            <sz val="10"/>
            <color rgb="FF000000"/>
            <rFont val="Tahoma"/>
            <family val="2"/>
          </rPr>
          <t xml:space="preserve">-1000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קרם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פנים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Tahoma"/>
            <family val="2"/>
          </rPr>
          <t>תמצית רוזמרין</t>
        </r>
      </text>
    </comment>
    <comment ref="H14" authorId="0" shapeId="0" xr:uid="{BC019B5B-81E3-4842-8231-6C97075B6201}">
      <text>
        <r>
          <rPr>
            <b/>
            <sz val="10"/>
            <color rgb="FF000000"/>
            <rFont val="Tahoma"/>
            <family val="2"/>
          </rPr>
          <t xml:space="preserve">Yifat Ryce:
</t>
        </r>
        <r>
          <rPr>
            <sz val="10"/>
            <color rgb="FF000000"/>
            <rFont val="Calibri"/>
            <family val="2"/>
          </rPr>
          <t>הדבקת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sz val="10"/>
            <color rgb="FF000000"/>
            <rFont val="Calibri"/>
            <family val="2"/>
          </rPr>
          <t>תווית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sz val="10"/>
            <color rgb="FF000000"/>
            <rFont val="Calibri"/>
            <family val="2"/>
          </rPr>
          <t>שווים</t>
        </r>
        <r>
          <rPr>
            <sz val="10"/>
            <color rgb="FF000000"/>
            <rFont val="Calibri"/>
            <family val="2"/>
          </rPr>
          <t xml:space="preserve"> - 0.4
</t>
        </r>
        <r>
          <rPr>
            <sz val="10"/>
            <color rgb="FF000000"/>
            <rFont val="Calibri"/>
            <family val="2"/>
          </rPr>
          <t>גזירת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sz val="10"/>
            <color rgb="FF000000"/>
            <rFont val="Calibri"/>
            <family val="2"/>
          </rPr>
          <t>משאבות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sz val="10"/>
            <color rgb="FF000000"/>
            <rFont val="Calibri"/>
            <family val="2"/>
          </rPr>
          <t>שווים</t>
        </r>
        <r>
          <rPr>
            <sz val="10"/>
            <color rgb="FF000000"/>
            <rFont val="Calibri"/>
            <family val="2"/>
          </rPr>
          <t xml:space="preserve"> - 0.2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הדבקת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sz val="10"/>
            <color rgb="FF000000"/>
            <rFont val="Calibri"/>
            <family val="2"/>
          </rPr>
          <t>תווית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sz val="10"/>
            <color rgb="FF000000"/>
            <rFont val="Calibri"/>
            <family val="2"/>
          </rPr>
          <t>ג׳י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sz val="10"/>
            <color rgb="FF000000"/>
            <rFont val="Calibri"/>
            <family val="2"/>
          </rPr>
          <t>וי</t>
        </r>
        <r>
          <rPr>
            <sz val="10"/>
            <color rgb="FF000000"/>
            <rFont val="Calibri"/>
            <family val="2"/>
          </rPr>
          <t xml:space="preserve"> - 1.1
</t>
        </r>
      </text>
    </comment>
    <comment ref="V14" authorId="0" shapeId="0" xr:uid="{50E450DA-DE18-EB4E-BD49-80D38D7D4383}">
      <text>
        <r>
          <rPr>
            <b/>
            <sz val="10"/>
            <color rgb="FF000000"/>
            <rFont val="Tahoma"/>
            <family val="2"/>
          </rPr>
          <t xml:space="preserve">Yifat Ryce:
</t>
        </r>
        <r>
          <rPr>
            <sz val="10"/>
            <color rgb="FF000000"/>
            <rFont val="Calibri"/>
            <family val="2"/>
          </rPr>
          <t>הדבקת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sz val="10"/>
            <color rgb="FF000000"/>
            <rFont val="Calibri"/>
            <family val="2"/>
          </rPr>
          <t>תווית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sz val="10"/>
            <color rgb="FF000000"/>
            <rFont val="Calibri"/>
            <family val="2"/>
          </rPr>
          <t>ידנית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sz val="10"/>
            <color rgb="FF000000"/>
            <rFont val="Calibri"/>
            <family val="2"/>
          </rPr>
          <t>ג׳י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sz val="10"/>
            <color rgb="FF000000"/>
            <rFont val="Calibri"/>
            <family val="2"/>
          </rPr>
          <t>וי</t>
        </r>
        <r>
          <rPr>
            <sz val="10"/>
            <color rgb="FF000000"/>
            <rFont val="Calibri"/>
            <family val="2"/>
          </rPr>
          <t xml:space="preserve"> - 1.1
</t>
        </r>
        <r>
          <rPr>
            <sz val="10"/>
            <color rgb="FF000000"/>
            <rFont val="Calibri"/>
            <family val="2"/>
          </rPr>
          <t>גזירת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sz val="10"/>
            <color rgb="FF000000"/>
            <rFont val="Calibri"/>
            <family val="2"/>
          </rPr>
          <t>משאבות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sz val="10"/>
            <color rgb="FF000000"/>
            <rFont val="Calibri"/>
            <family val="2"/>
          </rPr>
          <t>שווים</t>
        </r>
        <r>
          <rPr>
            <sz val="10"/>
            <color rgb="FF000000"/>
            <rFont val="Calibri"/>
            <family val="2"/>
          </rPr>
          <t xml:space="preserve"> - 0.2
</t>
        </r>
      </text>
    </comment>
    <comment ref="A15" authorId="0" shapeId="0" xr:uid="{1ED8744A-1AF5-0544-8A46-51D83FF4E01B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5% </t>
        </r>
      </text>
    </comment>
    <comment ref="F15" authorId="0" shapeId="0" xr:uid="{53A37E67-CC83-0047-BFBF-0E5A5CEE6D47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מתוכם</t>
        </r>
        <r>
          <rPr>
            <sz val="10"/>
            <color rgb="FF000000"/>
            <rFont val="Tahoma"/>
            <family val="2"/>
          </rPr>
          <t xml:space="preserve"> 0.3 </t>
        </r>
        <r>
          <rPr>
            <sz val="10"/>
            <color rgb="FF000000"/>
            <rFont val="Tahoma"/>
            <family val="2"/>
          </rPr>
          <t>משטח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מחוטא</t>
        </r>
        <r>
          <rPr>
            <sz val="10"/>
            <color rgb="FF000000"/>
            <rFont val="Tahoma"/>
            <family val="2"/>
          </rPr>
          <t xml:space="preserve"> + </t>
        </r>
        <r>
          <rPr>
            <sz val="10"/>
            <color rgb="FF000000"/>
            <rFont val="Tahoma"/>
            <family val="2"/>
          </rPr>
          <t>אירוז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לחו״ל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לפי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כמות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של</t>
        </r>
        <r>
          <rPr>
            <sz val="10"/>
            <color rgb="FF000000"/>
            <rFont val="Tahoma"/>
            <family val="2"/>
          </rPr>
          <t xml:space="preserve"> 1500 </t>
        </r>
        <r>
          <rPr>
            <sz val="10"/>
            <color rgb="FF000000"/>
            <rFont val="Tahoma"/>
            <family val="2"/>
          </rPr>
          <t>יחידות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במשטח</t>
        </r>
      </text>
    </comment>
    <comment ref="L23" authorId="0" shapeId="0" xr:uid="{878B9C28-8F86-C848-9A22-762D2B30857E}">
      <text>
        <r>
          <rPr>
            <b/>
            <sz val="10"/>
            <color rgb="FF000000"/>
            <rFont val="Tahoma"/>
            <family val="2"/>
          </rPr>
          <t>Yifat Ryce: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box+crinkle</t>
        </r>
      </text>
    </comment>
  </commentList>
</comments>
</file>

<file path=xl/sharedStrings.xml><?xml version="1.0" encoding="utf-8"?>
<sst xmlns="http://schemas.openxmlformats.org/spreadsheetml/2006/main" count="263" uniqueCount="176">
  <si>
    <t>Juice</t>
  </si>
  <si>
    <t>Perfume</t>
  </si>
  <si>
    <t>Package</t>
  </si>
  <si>
    <t>Labels</t>
  </si>
  <si>
    <t>Case pack</t>
  </si>
  <si>
    <t>Master pack</t>
  </si>
  <si>
    <t>Directly bought components</t>
  </si>
  <si>
    <t>Size (ml)</t>
  </si>
  <si>
    <t>ILS:$</t>
  </si>
  <si>
    <t>Pomade package from China</t>
  </si>
  <si>
    <t>1 pack</t>
  </si>
  <si>
    <t>Air Shipping</t>
  </si>
  <si>
    <t>$</t>
  </si>
  <si>
    <t>ILS</t>
  </si>
  <si>
    <t>TOTAL (ILS)</t>
  </si>
  <si>
    <t>TOTAL ($)</t>
  </si>
  <si>
    <t>Misc.</t>
  </si>
  <si>
    <t>RRP</t>
  </si>
  <si>
    <t>GP</t>
  </si>
  <si>
    <t>ניקו - תערובת שמן</t>
  </si>
  <si>
    <t>שמנים אתריים</t>
  </si>
  <si>
    <t>שיפון</t>
  </si>
  <si>
    <t>קילו</t>
  </si>
  <si>
    <t>אין מינימום</t>
  </si>
  <si>
    <t>באלם ניקו, שמפו ניקו, שמפו ניקו Vera</t>
  </si>
  <si>
    <t>dd5244 - Sandalwood &amp; Vanilla</t>
  </si>
  <si>
    <t>בושם</t>
  </si>
  <si>
    <t>DD5244</t>
  </si>
  <si>
    <t>5 קילו</t>
  </si>
  <si>
    <t>דותן: 3 ק״ג</t>
  </si>
  <si>
    <t>2.10.17</t>
  </si>
  <si>
    <t>קרם גוף</t>
  </si>
  <si>
    <t>פילינג זית 500 מיקרון</t>
  </si>
  <si>
    <t>חומרי גלם</t>
  </si>
  <si>
    <t>20 קילו</t>
  </si>
  <si>
    <t>Verbena, Spearmint &amp; Vetiver</t>
  </si>
  <si>
    <t>dd5242</t>
  </si>
  <si>
    <t>4.7.17</t>
  </si>
  <si>
    <t>dd5241 - Bergamot &amp; Vetiver</t>
  </si>
  <si>
    <t>dd5241</t>
  </si>
  <si>
    <t>דותן: 3 קג</t>
  </si>
  <si>
    <t>Black Tea DD4534</t>
  </si>
  <si>
    <t>DD4534</t>
  </si>
  <si>
    <t>https://drive.google.com/open?id=0B712ko-TY0_dRlBuMEEzUnFCV29iOXd5YXRnblluUjdmRWh3</t>
  </si>
  <si>
    <t>דותן: 22 ק״ג</t>
  </si>
  <si>
    <t>5.11.18</t>
  </si>
  <si>
    <t>ליברטאד - תערובת שמן</t>
  </si>
  <si>
    <t>Libertad</t>
  </si>
  <si>
    <t>אקסודוס - תערובת שמן</t>
  </si>
  <si>
    <t>Exodus</t>
  </si>
  <si>
    <t>תיאודור באלם - תערובת שמן</t>
  </si>
  <si>
    <t>TheodoreBalm</t>
  </si>
  <si>
    <t>טייגר היל - תערובת שמן</t>
  </si>
  <si>
    <t>TigerHill</t>
  </si>
  <si>
    <t>תיאודור שמן - תערובת שמן</t>
  </si>
  <si>
    <t>TheodoreOil</t>
  </si>
  <si>
    <t>סלבדור - תערובת שמן</t>
  </si>
  <si>
    <t>VoxMustache</t>
  </si>
  <si>
    <t>טאורוס באלם - תערובת שמן</t>
  </si>
  <si>
    <t>TaurusBalm</t>
  </si>
  <si>
    <t>רז - תערובת שמן</t>
  </si>
  <si>
    <t>Cedarwood Mandarin &amp; Lavender Esop</t>
  </si>
  <si>
    <t>DD4535</t>
  </si>
  <si>
    <t>ויטמינס: 4 ק״ג</t>
  </si>
  <si>
    <t>מקס - תערובת שמן</t>
  </si>
  <si>
    <t>Max</t>
  </si>
  <si>
    <t>דאבל סטנדרט - תערובת שמן</t>
  </si>
  <si>
    <t>נורדאו - תערובת שמן (ארז)</t>
  </si>
  <si>
    <t>הרצל - תערובת שמן (מנטה)</t>
  </si>
  <si>
    <t>Shampoo (Vitamins)</t>
  </si>
  <si>
    <t>Conditioner (Vitamins)</t>
  </si>
  <si>
    <t>Soap (Vitamins)</t>
  </si>
  <si>
    <t>3*100</t>
  </si>
  <si>
    <t>Kit pack Uline</t>
  </si>
  <si>
    <t>3OVO kitting</t>
  </si>
  <si>
    <t>NM ($)</t>
  </si>
  <si>
    <t>Product (NIS)</t>
  </si>
  <si>
    <t>Travel Kit (Vitamins)</t>
  </si>
  <si>
    <t>Face Cleanser (mysense)</t>
  </si>
  <si>
    <t>Extra work</t>
  </si>
  <si>
    <t>Beard Balm Niko (Vitamins)</t>
  </si>
  <si>
    <t>Beard Balm Taurus (Vitamins)</t>
  </si>
  <si>
    <t>Beard Balm Theodore (Vitamins)</t>
  </si>
  <si>
    <t>Pomade colorado (GV)</t>
  </si>
  <si>
    <t>Strong Pomade Atrato (GV)</t>
  </si>
  <si>
    <t>Hair Paste (GV)</t>
  </si>
  <si>
    <t>Hair Cream (GV)</t>
  </si>
  <si>
    <t>Hair Paste (Vitamins)</t>
  </si>
  <si>
    <t>Face Moisturizer (GV)</t>
  </si>
  <si>
    <t>Hand Cream (GV)</t>
  </si>
  <si>
    <t>Beard Wash (GV)</t>
  </si>
  <si>
    <t>Size</t>
  </si>
  <si>
    <t>FOB price /unit ($)</t>
  </si>
  <si>
    <t>FOB price /unit (ILS)</t>
  </si>
  <si>
    <t>Qty</t>
  </si>
  <si>
    <t>Total price (ILS)</t>
  </si>
  <si>
    <t>45mm</t>
  </si>
  <si>
    <t>60mm</t>
  </si>
  <si>
    <t>64.2mm</t>
  </si>
  <si>
    <t>Air shipment (120K items)</t>
  </si>
  <si>
    <t>Taxes</t>
  </si>
  <si>
    <t>Total</t>
  </si>
  <si>
    <t>Total per unit</t>
  </si>
  <si>
    <t>Pomade</t>
  </si>
  <si>
    <t>Body Lotion</t>
  </si>
  <si>
    <t>Face Moisturizer</t>
  </si>
  <si>
    <t>Hair Cream (Vitamins)</t>
  </si>
  <si>
    <t>מוצר</t>
  </si>
  <si>
    <t>קטגוריה</t>
  </si>
  <si>
    <t>ספק</t>
  </si>
  <si>
    <t>מק״ט</t>
  </si>
  <si>
    <t>מחיר לפני מע״מ</t>
  </si>
  <si>
    <t>יחידה</t>
  </si>
  <si>
    <t>מינימום</t>
  </si>
  <si>
    <t>פרטים נוספים</t>
  </si>
  <si>
    <t>האם במלאי?</t>
  </si>
  <si>
    <t>עודכן?</t>
  </si>
  <si>
    <t>מוצרים רלוונטים</t>
  </si>
  <si>
    <t>Beard Comb</t>
  </si>
  <si>
    <t>Mustache comb</t>
  </si>
  <si>
    <t>Beard Balm Niko (GV)</t>
  </si>
  <si>
    <t>Beard Balm Theodore (GV)</t>
  </si>
  <si>
    <t>Beard Balm Taurus (GV)</t>
  </si>
  <si>
    <t>Mustache Wax (Vitamins)</t>
  </si>
  <si>
    <t>Pomade colorado (Vitamins)</t>
  </si>
  <si>
    <t>Strong Pomade Atrato (Vitamins)</t>
  </si>
  <si>
    <t>Beard Softener (Vitamins)</t>
  </si>
  <si>
    <t>All Purpose Oil (GV)</t>
  </si>
  <si>
    <t>All Purpose Oil (Vitamins)</t>
  </si>
  <si>
    <t>Conditioner 500ml (Vitamins)</t>
  </si>
  <si>
    <t>Conditioner 250ml (Vitamins)</t>
  </si>
  <si>
    <t>Shampoo 500ml (Vitamins)</t>
  </si>
  <si>
    <t>Shampoo 250ml (Vitamins)</t>
  </si>
  <si>
    <t>Soap 500ml (Vitamins)</t>
  </si>
  <si>
    <t>Soap 250ml (Vitamins)</t>
  </si>
  <si>
    <t>Body Lotion (Mysense)</t>
  </si>
  <si>
    <t>Lip Balm (Vitamins)</t>
  </si>
  <si>
    <t>Facial Mud Mask (Mysense)</t>
  </si>
  <si>
    <t>Size (fl oz)</t>
  </si>
  <si>
    <t>N/A</t>
  </si>
  <si>
    <t>Beard Wash (Vitamins)</t>
  </si>
  <si>
    <t>שמפו ארה״ב</t>
  </si>
  <si>
    <t>Beard Oil Theodore 15ml (Vitamins)</t>
  </si>
  <si>
    <t>Beard Oil Libertad 15ml (Vitamins)</t>
  </si>
  <si>
    <t>Beard Oil Tiger Hill 15ml (Vitamins)</t>
  </si>
  <si>
    <t>Beard Oil Exodus 15ml (Vitamins)</t>
  </si>
  <si>
    <t>ודגווד - תערובת שמן</t>
  </si>
  <si>
    <t>All Purpose Oil</t>
  </si>
  <si>
    <t>30ml</t>
  </si>
  <si>
    <t>15ml</t>
  </si>
  <si>
    <t>Bottle</t>
  </si>
  <si>
    <t>5ml</t>
  </si>
  <si>
    <t>Tube</t>
  </si>
  <si>
    <t>Sea freight</t>
  </si>
  <si>
    <t>Per item</t>
  </si>
  <si>
    <t>$ to ILS</t>
  </si>
  <si>
    <t>MISSING: taxes</t>
  </si>
  <si>
    <t>Beard Oil Theodore 30ml (Vitamins)</t>
  </si>
  <si>
    <t>Beard Oil Libertad 30ml (Vitamins)</t>
  </si>
  <si>
    <t>Beard Oil Tiger Hill 30ml (Vitamins)</t>
  </si>
  <si>
    <t>Beard Oil Exodus 30ml (Vitamins)</t>
  </si>
  <si>
    <t>Poamde</t>
  </si>
  <si>
    <t>Stickers</t>
  </si>
  <si>
    <t>Beard Balm</t>
  </si>
  <si>
    <t>Mustache Wax</t>
  </si>
  <si>
    <t>Room Scent</t>
  </si>
  <si>
    <t>Lip Balm</t>
  </si>
  <si>
    <t>Beard Oil 15ml</t>
  </si>
  <si>
    <t>Shaving Cream (GV)</t>
  </si>
  <si>
    <t>Beard</t>
  </si>
  <si>
    <t>Mustache</t>
  </si>
  <si>
    <t>Wood</t>
  </si>
  <si>
    <t>Laser</t>
  </si>
  <si>
    <t>Sand shaving</t>
  </si>
  <si>
    <t>Oils</t>
  </si>
  <si>
    <t>Putting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</si>
</sst>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73" formatCode="[$$-409]#,##0.00"/>
    <numFmt numFmtId="174" formatCode="&quot;₪&quot;#,##0.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0"/>
      <color rgb="FF222222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9" fontId="0" fillId="0" borderId="0" xfId="1" applyFont="1"/>
    <xf numFmtId="164" fontId="4" fillId="0" borderId="0" xfId="0" applyNumberFormat="1" applyFont="1"/>
    <xf numFmtId="0" fontId="5" fillId="2" borderId="0" xfId="0" applyFont="1" applyFill="1" applyAlignment="1"/>
    <xf numFmtId="0" fontId="5" fillId="2" borderId="0" xfId="0" applyFont="1" applyFill="1"/>
    <xf numFmtId="0" fontId="6" fillId="2" borderId="0" xfId="0" applyFont="1" applyFill="1"/>
    <xf numFmtId="0" fontId="5" fillId="3" borderId="0" xfId="0" applyFont="1" applyFill="1" applyAlignment="1"/>
    <xf numFmtId="0" fontId="5" fillId="3" borderId="0" xfId="0" applyFont="1" applyFill="1"/>
    <xf numFmtId="0" fontId="6" fillId="2" borderId="0" xfId="0" applyFont="1" applyFill="1" applyAlignment="1"/>
    <xf numFmtId="0" fontId="7" fillId="3" borderId="0" xfId="0" applyFont="1" applyFill="1" applyAlignment="1"/>
    <xf numFmtId="0" fontId="2" fillId="0" borderId="0" xfId="0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0" fontId="0" fillId="0" borderId="0" xfId="0" applyFont="1"/>
    <xf numFmtId="164" fontId="0" fillId="0" borderId="0" xfId="0" applyNumberFormat="1" applyFont="1"/>
    <xf numFmtId="0" fontId="12" fillId="0" borderId="0" xfId="0" applyFont="1"/>
    <xf numFmtId="165" fontId="0" fillId="0" borderId="0" xfId="0" applyNumberFormat="1"/>
    <xf numFmtId="0" fontId="14" fillId="0" borderId="0" xfId="0" applyFont="1"/>
    <xf numFmtId="164" fontId="2" fillId="0" borderId="0" xfId="0" applyNumberFormat="1" applyFont="1"/>
    <xf numFmtId="173" fontId="0" fillId="0" borderId="0" xfId="0" applyNumberFormat="1"/>
    <xf numFmtId="17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0B712ko-TY0_dRlBuMEEzUnFCV29iOXd5YXRnblluUjdmRWh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85C1-7B37-674A-B494-23A71F63BF68}">
  <dimension ref="A1:AX27"/>
  <sheetViews>
    <sheetView tabSelected="1" zoomScale="130" zoomScaleNormal="130" workbookViewId="0">
      <pane xSplit="1" topLeftCell="B1" activePane="topRight" state="frozen"/>
      <selection pane="topRight" activeCell="B3" sqref="B3"/>
    </sheetView>
  </sheetViews>
  <sheetFormatPr baseColWidth="10" defaultRowHeight="16" outlineLevelCol="1" x14ac:dyDescent="0.2"/>
  <cols>
    <col min="1" max="1" width="24.6640625" bestFit="1" customWidth="1"/>
    <col min="2" max="12" width="21.5" customWidth="1"/>
    <col min="13" max="15" width="21.5" customWidth="1" outlineLevel="1"/>
    <col min="16" max="21" width="21.5" customWidth="1"/>
    <col min="22" max="29" width="21.6640625" customWidth="1"/>
    <col min="30" max="33" width="23.33203125" bestFit="1" customWidth="1"/>
    <col min="34" max="37" width="27" customWidth="1"/>
    <col min="38" max="39" width="23.33203125" bestFit="1" customWidth="1"/>
    <col min="40" max="41" width="23.5" bestFit="1" customWidth="1"/>
    <col min="42" max="50" width="26.6640625" bestFit="1" customWidth="1"/>
  </cols>
  <sheetData>
    <row r="1" spans="1:50" x14ac:dyDescent="0.2">
      <c r="A1" t="s">
        <v>8</v>
      </c>
      <c r="B1">
        <v>3.5</v>
      </c>
    </row>
    <row r="3" spans="1:50" x14ac:dyDescent="0.2">
      <c r="A3" s="1" t="s">
        <v>76</v>
      </c>
      <c r="B3" s="1" t="s">
        <v>83</v>
      </c>
      <c r="C3" s="1" t="s">
        <v>84</v>
      </c>
      <c r="D3" s="1" t="s">
        <v>124</v>
      </c>
      <c r="E3" s="1" t="s">
        <v>125</v>
      </c>
      <c r="F3" s="1" t="s">
        <v>85</v>
      </c>
      <c r="G3" s="1" t="s">
        <v>87</v>
      </c>
      <c r="H3" s="1" t="s">
        <v>86</v>
      </c>
      <c r="I3" s="1" t="s">
        <v>106</v>
      </c>
      <c r="J3" s="1" t="s">
        <v>69</v>
      </c>
      <c r="K3" s="1" t="s">
        <v>69</v>
      </c>
      <c r="L3" s="1" t="s">
        <v>77</v>
      </c>
      <c r="M3" s="1" t="s">
        <v>69</v>
      </c>
      <c r="N3" s="1" t="s">
        <v>70</v>
      </c>
      <c r="O3" s="1" t="s">
        <v>71</v>
      </c>
      <c r="P3" s="1" t="s">
        <v>82</v>
      </c>
      <c r="Q3" s="1" t="s">
        <v>80</v>
      </c>
      <c r="R3" s="1" t="s">
        <v>81</v>
      </c>
      <c r="S3" s="1" t="s">
        <v>78</v>
      </c>
      <c r="T3" s="1" t="s">
        <v>88</v>
      </c>
      <c r="U3" s="1" t="s">
        <v>89</v>
      </c>
      <c r="V3" s="1" t="s">
        <v>90</v>
      </c>
      <c r="W3" s="1" t="s">
        <v>168</v>
      </c>
      <c r="X3" s="1" t="s">
        <v>118</v>
      </c>
      <c r="Y3" s="1" t="s">
        <v>119</v>
      </c>
      <c r="Z3" s="1" t="s">
        <v>120</v>
      </c>
      <c r="AA3" s="1" t="s">
        <v>121</v>
      </c>
      <c r="AB3" s="1" t="s">
        <v>122</v>
      </c>
      <c r="AC3" s="1" t="s">
        <v>123</v>
      </c>
      <c r="AD3" s="1" t="s">
        <v>157</v>
      </c>
      <c r="AE3" s="1" t="s">
        <v>158</v>
      </c>
      <c r="AF3" s="1" t="s">
        <v>159</v>
      </c>
      <c r="AG3" s="1" t="s">
        <v>160</v>
      </c>
      <c r="AH3" s="1" t="s">
        <v>142</v>
      </c>
      <c r="AI3" s="1" t="s">
        <v>143</v>
      </c>
      <c r="AJ3" s="1" t="s">
        <v>144</v>
      </c>
      <c r="AK3" s="1" t="s">
        <v>145</v>
      </c>
      <c r="AL3" s="1" t="s">
        <v>128</v>
      </c>
      <c r="AM3" s="1" t="s">
        <v>127</v>
      </c>
      <c r="AN3" s="1" t="s">
        <v>126</v>
      </c>
      <c r="AO3" s="1" t="s">
        <v>140</v>
      </c>
      <c r="AP3" s="1" t="s">
        <v>129</v>
      </c>
      <c r="AQ3" s="1" t="s">
        <v>130</v>
      </c>
      <c r="AR3" s="1" t="s">
        <v>131</v>
      </c>
      <c r="AS3" s="1" t="s">
        <v>132</v>
      </c>
      <c r="AT3" s="1" t="s">
        <v>133</v>
      </c>
      <c r="AU3" s="1" t="s">
        <v>134</v>
      </c>
      <c r="AV3" s="1" t="s">
        <v>135</v>
      </c>
      <c r="AW3" s="1" t="s">
        <v>136</v>
      </c>
      <c r="AX3" s="1" t="s">
        <v>137</v>
      </c>
    </row>
    <row r="4" spans="1:50" s="18" customFormat="1" ht="14" x14ac:dyDescent="0.2">
      <c r="A4" s="17" t="s">
        <v>7</v>
      </c>
      <c r="B4" s="18">
        <v>150</v>
      </c>
      <c r="C4" s="18">
        <v>150</v>
      </c>
      <c r="D4" s="18">
        <v>150</v>
      </c>
      <c r="E4" s="18">
        <v>150</v>
      </c>
      <c r="F4" s="18">
        <v>150</v>
      </c>
      <c r="G4" s="18">
        <v>150</v>
      </c>
      <c r="H4" s="18">
        <v>250</v>
      </c>
      <c r="I4" s="18">
        <v>250</v>
      </c>
      <c r="J4" s="18">
        <v>500</v>
      </c>
      <c r="K4" s="18">
        <v>250</v>
      </c>
      <c r="L4" s="18" t="s">
        <v>72</v>
      </c>
      <c r="M4" s="18">
        <v>100</v>
      </c>
      <c r="N4" s="18">
        <v>100</v>
      </c>
      <c r="O4" s="18">
        <v>100</v>
      </c>
      <c r="P4" s="18">
        <v>50</v>
      </c>
      <c r="Q4" s="18">
        <v>50</v>
      </c>
      <c r="R4" s="18">
        <v>50</v>
      </c>
      <c r="S4" s="18">
        <v>125</v>
      </c>
      <c r="T4" s="18">
        <v>60</v>
      </c>
      <c r="U4" s="18">
        <v>120</v>
      </c>
      <c r="V4" s="18">
        <v>250</v>
      </c>
      <c r="W4" s="18">
        <v>110</v>
      </c>
      <c r="X4" s="18" t="s">
        <v>139</v>
      </c>
      <c r="Y4" s="18" t="s">
        <v>139</v>
      </c>
      <c r="Z4" s="18">
        <v>50</v>
      </c>
      <c r="AA4" s="18">
        <v>50</v>
      </c>
      <c r="AB4" s="18">
        <v>50</v>
      </c>
      <c r="AC4" s="18">
        <v>50</v>
      </c>
      <c r="AD4" s="18">
        <v>30</v>
      </c>
      <c r="AE4" s="18">
        <v>30</v>
      </c>
      <c r="AF4" s="18">
        <v>30</v>
      </c>
      <c r="AG4" s="18">
        <v>30</v>
      </c>
      <c r="AH4" s="18">
        <v>15</v>
      </c>
      <c r="AI4" s="18">
        <v>15</v>
      </c>
      <c r="AJ4" s="18">
        <v>15</v>
      </c>
      <c r="AK4" s="18">
        <v>15</v>
      </c>
      <c r="AL4" s="18">
        <v>30</v>
      </c>
      <c r="AM4" s="18">
        <v>30</v>
      </c>
      <c r="AN4" s="18">
        <v>250</v>
      </c>
      <c r="AO4" s="18">
        <v>250</v>
      </c>
      <c r="AP4" s="18">
        <v>500</v>
      </c>
      <c r="AQ4" s="18">
        <v>250</v>
      </c>
      <c r="AR4" s="18">
        <v>500</v>
      </c>
      <c r="AS4" s="18">
        <v>250</v>
      </c>
      <c r="AT4" s="18">
        <v>500</v>
      </c>
      <c r="AU4" s="18">
        <v>250</v>
      </c>
      <c r="AV4" s="18">
        <v>175</v>
      </c>
      <c r="AW4" s="18">
        <v>15</v>
      </c>
      <c r="AX4" s="18">
        <v>110</v>
      </c>
    </row>
    <row r="5" spans="1:50" s="18" customFormat="1" ht="14" x14ac:dyDescent="0.2">
      <c r="A5" s="17" t="s">
        <v>138</v>
      </c>
      <c r="X5" s="18" t="s">
        <v>139</v>
      </c>
      <c r="Y5" s="18" t="s">
        <v>139</v>
      </c>
      <c r="Z5" s="18">
        <v>1.7</v>
      </c>
      <c r="AA5" s="18">
        <v>1.7</v>
      </c>
      <c r="AB5" s="18">
        <v>1.7</v>
      </c>
      <c r="AC5" s="18">
        <v>1.7</v>
      </c>
      <c r="AD5" s="18">
        <v>1</v>
      </c>
      <c r="AE5" s="18">
        <v>1</v>
      </c>
      <c r="AF5" s="18">
        <v>1</v>
      </c>
      <c r="AG5" s="18">
        <v>1</v>
      </c>
      <c r="AH5" s="18">
        <v>0.5</v>
      </c>
      <c r="AI5" s="18">
        <v>0.5</v>
      </c>
      <c r="AJ5" s="18">
        <v>0.5</v>
      </c>
      <c r="AK5" s="18">
        <v>0.5</v>
      </c>
      <c r="AL5" s="18">
        <v>1</v>
      </c>
      <c r="AM5" s="18">
        <v>1</v>
      </c>
      <c r="AN5" s="18">
        <v>8.4</v>
      </c>
      <c r="AO5" s="18">
        <v>8.4</v>
      </c>
      <c r="AP5" s="18">
        <v>16.899999999999999</v>
      </c>
      <c r="AQ5" s="18">
        <v>8.4</v>
      </c>
      <c r="AR5" s="18">
        <v>16.899999999999999</v>
      </c>
      <c r="AS5" s="18">
        <v>8.4</v>
      </c>
      <c r="AT5" s="18">
        <v>16.899999999999999</v>
      </c>
      <c r="AU5" s="18">
        <v>8.4</v>
      </c>
      <c r="AV5" s="18">
        <v>5.9</v>
      </c>
      <c r="AW5" s="18">
        <v>0.5</v>
      </c>
      <c r="AX5" s="18">
        <v>3.7</v>
      </c>
    </row>
    <row r="6" spans="1:50" s="18" customFormat="1" ht="8" customHeight="1" x14ac:dyDescent="0.2">
      <c r="A6" s="17"/>
    </row>
    <row r="7" spans="1:50" x14ac:dyDescent="0.2">
      <c r="A7" t="s">
        <v>0</v>
      </c>
      <c r="B7">
        <v>8.5</v>
      </c>
      <c r="C7">
        <v>7.7</v>
      </c>
      <c r="D7">
        <v>15.25</v>
      </c>
      <c r="E7">
        <v>17.100000000000001</v>
      </c>
      <c r="F7">
        <v>13.4</v>
      </c>
      <c r="G7">
        <v>15.25</v>
      </c>
      <c r="H7">
        <v>9.6999999999999993</v>
      </c>
      <c r="I7">
        <v>13.4</v>
      </c>
      <c r="J7">
        <v>16.100000000000001</v>
      </c>
      <c r="K7" s="4">
        <v>13.25</v>
      </c>
      <c r="L7" s="19">
        <f>SUM(M7:O7)</f>
        <v>28.4</v>
      </c>
      <c r="M7">
        <v>9.1</v>
      </c>
      <c r="N7">
        <v>9.8000000000000007</v>
      </c>
      <c r="O7" s="19">
        <v>9.5</v>
      </c>
      <c r="P7" s="19">
        <v>15.2</v>
      </c>
      <c r="Q7" s="19">
        <v>15.2</v>
      </c>
      <c r="R7" s="19">
        <v>15.2</v>
      </c>
      <c r="S7" s="19">
        <v>4.8</v>
      </c>
      <c r="T7" s="19">
        <v>8.5</v>
      </c>
      <c r="U7" s="19">
        <v>8.5</v>
      </c>
      <c r="V7" s="19">
        <v>6.8</v>
      </c>
      <c r="W7" s="19">
        <v>7</v>
      </c>
      <c r="X7">
        <f>Combs!B7</f>
        <v>14.520000000000001</v>
      </c>
      <c r="Y7">
        <f>Combs!C7</f>
        <v>8.33</v>
      </c>
      <c r="AC7">
        <v>16.5</v>
      </c>
      <c r="AD7" s="4">
        <v>11.65</v>
      </c>
      <c r="AE7" s="4">
        <v>11.65</v>
      </c>
      <c r="AF7" s="4">
        <v>11.65</v>
      </c>
      <c r="AG7" s="4">
        <v>11.65</v>
      </c>
      <c r="AH7" s="4">
        <v>8.75</v>
      </c>
      <c r="AI7" s="4">
        <v>8.75</v>
      </c>
      <c r="AJ7" s="4">
        <v>8.75</v>
      </c>
      <c r="AK7" s="4">
        <v>8.75</v>
      </c>
      <c r="AL7">
        <v>10.9</v>
      </c>
      <c r="AN7">
        <v>12.51</v>
      </c>
      <c r="AO7">
        <v>13.25</v>
      </c>
      <c r="AP7">
        <v>15.6</v>
      </c>
      <c r="AQ7">
        <v>12.51</v>
      </c>
      <c r="AR7">
        <v>16.100000000000001</v>
      </c>
      <c r="AS7">
        <v>13.25</v>
      </c>
      <c r="AT7">
        <v>14.8</v>
      </c>
      <c r="AU7">
        <v>13.25</v>
      </c>
      <c r="AV7">
        <v>7.5</v>
      </c>
      <c r="AW7">
        <v>9.4</v>
      </c>
      <c r="AX7">
        <v>6</v>
      </c>
    </row>
    <row r="8" spans="1:50" x14ac:dyDescent="0.2">
      <c r="A8" t="s">
        <v>1</v>
      </c>
      <c r="B8">
        <v>0</v>
      </c>
      <c r="C8">
        <v>0</v>
      </c>
      <c r="D8">
        <v>0</v>
      </c>
      <c r="E8">
        <v>0</v>
      </c>
      <c r="F8">
        <v>0</v>
      </c>
      <c r="G8" s="24">
        <f>Shifon!E17/1000*G4*2%</f>
        <v>4.080000000000001</v>
      </c>
      <c r="H8">
        <v>0</v>
      </c>
      <c r="I8" s="24">
        <f>Shifon!E17/1000</f>
        <v>1.36</v>
      </c>
      <c r="J8">
        <v>0</v>
      </c>
      <c r="K8">
        <v>0</v>
      </c>
      <c r="L8">
        <v>0</v>
      </c>
      <c r="M8" s="4">
        <f>Shifon!E5/1000*'BOM Maapilim'!M4*0.5%</f>
        <v>0.22</v>
      </c>
      <c r="N8">
        <v>0</v>
      </c>
      <c r="O8">
        <v>0</v>
      </c>
      <c r="P8" s="4">
        <f>2%*P4/1000*Shifon!E10</f>
        <v>0.623</v>
      </c>
      <c r="Q8" s="4">
        <f>2%*Q4/1000*Shifon!E2</f>
        <v>1.3</v>
      </c>
      <c r="R8" s="4">
        <f>2%*R4/1000*Shifon!E14</f>
        <v>0.35599999999999998</v>
      </c>
      <c r="S8">
        <v>0.2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C8" s="24">
        <f>Shifon!E13/1000*'BOM Maapilim'!AC4*2%</f>
        <v>0.61099999999999999</v>
      </c>
      <c r="AD8" s="20">
        <f>Shifon!E12/1000*AD4*2%</f>
        <v>0.36600000000000005</v>
      </c>
      <c r="AE8" s="20">
        <f>Shifon!E8/1000*'BOM Maapilim'!AE4*2%</f>
        <v>0.71579999999999999</v>
      </c>
      <c r="AF8" s="20">
        <f>Shifon!E11/1000*'BOM Maapilim'!AF4*2%</f>
        <v>0.93480000000000008</v>
      </c>
      <c r="AG8" s="20">
        <f>Shifon!E9/1000*'BOM Maapilim'!AG4*2%</f>
        <v>0.39480000000000004</v>
      </c>
      <c r="AH8" s="20">
        <f>Shifon!E12/1000*AH4*2%</f>
        <v>0.18300000000000002</v>
      </c>
      <c r="AI8" s="20">
        <f>Shifon!E8/1000*'BOM Maapilim'!AI4*2%</f>
        <v>0.3579</v>
      </c>
      <c r="AJ8" s="20">
        <f>Shifon!E11/1000*'BOM Maapilim'!AJ4*2%</f>
        <v>0.46740000000000004</v>
      </c>
      <c r="AK8" s="20">
        <f>Shifon!E9/1000*'BOM Maapilim'!AK4*2%</f>
        <v>0.19740000000000002</v>
      </c>
      <c r="AL8" s="20">
        <f>Shifon!E21/1000*'BOM Maapilim'!AL4*2%</f>
        <v>0.50339999999999996</v>
      </c>
      <c r="AN8">
        <v>0</v>
      </c>
      <c r="AO8" s="15">
        <f>Shifon!E16/1000*'BOM Maapilim'!AO4*0.5%</f>
        <v>0.35000000000000003</v>
      </c>
      <c r="AP8" s="19">
        <v>0</v>
      </c>
      <c r="AQ8" s="19">
        <v>0</v>
      </c>
      <c r="AR8" s="15">
        <f>Shifon!E5/1000*'BOM Maapilim'!AR4*0.5%</f>
        <v>1.1000000000000001</v>
      </c>
      <c r="AS8" s="15">
        <f>Shifon!E5/1000*'BOM Maapilim'!AS4*0.5%</f>
        <v>0.55000000000000004</v>
      </c>
      <c r="AT8">
        <v>0</v>
      </c>
      <c r="AU8">
        <v>0</v>
      </c>
      <c r="AV8" s="4">
        <f>Shifon!E3/2/400</f>
        <v>0.61624999999999996</v>
      </c>
      <c r="AW8" s="20">
        <f>Shifon!E10/1000*15*2%</f>
        <v>0.18690000000000001</v>
      </c>
      <c r="AX8" s="15">
        <f>S8</f>
        <v>0.2</v>
      </c>
    </row>
    <row r="9" spans="1:50" x14ac:dyDescent="0.2">
      <c r="A9" t="s">
        <v>2</v>
      </c>
      <c r="B9" s="4">
        <f>SUM('Pomade packs'!C2:C3)+Seals!C4+Seals!E10</f>
        <v>1.9998416666666665</v>
      </c>
      <c r="C9" s="4">
        <f>SUM('Pomade packs'!C2:C3)+Seals!C4+Seals!E10</f>
        <v>1.9998416666666665</v>
      </c>
      <c r="D9" s="4">
        <f>SUM('Pomade packs'!C2:C3)+Seals!C4+Seals!E10</f>
        <v>1.9998416666666665</v>
      </c>
      <c r="E9" s="4">
        <f>SUM('Pomade packs'!C2:C3)+Seals!C4+Seals!E10</f>
        <v>1.9998416666666665</v>
      </c>
      <c r="F9" s="7">
        <f>SUM('Pomade packs'!C2:C3)+Seals!C4+Seals!E10</f>
        <v>1.9998416666666665</v>
      </c>
      <c r="G9" s="7">
        <f>SUM('Pomade packs'!C2:C3)+Seals!C4+Seals!E10</f>
        <v>1.9998416666666665</v>
      </c>
      <c r="H9" s="4">
        <f>0.75+0.596</f>
        <v>1.3460000000000001</v>
      </c>
      <c r="I9" s="4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5">
        <f>0.44+0.4</f>
        <v>0.84000000000000008</v>
      </c>
      <c r="T9" s="20">
        <f>1.366+0.765+0.17028</f>
        <v>2.3012800000000002</v>
      </c>
      <c r="U9" s="4">
        <f>2.212+0.8432+0.12312</f>
        <v>3.1783200000000003</v>
      </c>
      <c r="V9" s="4">
        <f>0.75+0.596</f>
        <v>1.3460000000000001</v>
      </c>
      <c r="W9" s="4">
        <f>2.212+0.8432+0.12312</f>
        <v>3.1783200000000003</v>
      </c>
      <c r="X9">
        <v>0</v>
      </c>
      <c r="Y9">
        <v>0</v>
      </c>
      <c r="AC9">
        <v>0</v>
      </c>
      <c r="AD9" s="20">
        <f>'Oil bottles'!B6+'Oil bottles'!F11</f>
        <v>0.55040238450074508</v>
      </c>
      <c r="AE9" s="20">
        <f>'Oil bottles'!B6+'Oil bottles'!F11</f>
        <v>0.55040238450074508</v>
      </c>
      <c r="AF9" s="20">
        <f>'Oil bottles'!B6+'Oil bottles'!F11</f>
        <v>0.55040238450074508</v>
      </c>
      <c r="AG9" s="20">
        <f>'Oil bottles'!B6+'Oil bottles'!F11</f>
        <v>0.55040238450074508</v>
      </c>
      <c r="AH9" s="20">
        <f>'Oil bottles'!B7+'Oil bottles'!C7+'Oil bottles'!F11</f>
        <v>1.2504023845007453</v>
      </c>
      <c r="AI9" s="20">
        <f>'Oil bottles'!B7+'Oil bottles'!C7+'Oil bottles'!F11</f>
        <v>1.2504023845007453</v>
      </c>
      <c r="AJ9" s="20">
        <f>'Oil bottles'!B7+'Oil bottles'!C7+'Oil bottles'!F11</f>
        <v>1.2504023845007453</v>
      </c>
      <c r="AK9" s="20">
        <f>'Oil bottles'!B7+'Oil bottles'!C7+'Oil bottles'!F11</f>
        <v>1.2504023845007453</v>
      </c>
      <c r="AL9" s="20">
        <f>'Oil bottles'!B6+'Oil bottles'!F11</f>
        <v>0.55040238450074508</v>
      </c>
      <c r="AN9">
        <v>0</v>
      </c>
      <c r="AO9">
        <v>0</v>
      </c>
      <c r="AP9" s="19">
        <v>0</v>
      </c>
      <c r="AQ9" s="19">
        <v>0</v>
      </c>
      <c r="AR9">
        <v>0</v>
      </c>
      <c r="AS9">
        <v>0</v>
      </c>
      <c r="AT9">
        <v>0</v>
      </c>
      <c r="AU9">
        <v>0</v>
      </c>
      <c r="AV9" s="4">
        <f>2.99884025234025+Seals!C3+Seals!E10</f>
        <v>3.0854569190069165</v>
      </c>
      <c r="AW9">
        <v>0</v>
      </c>
      <c r="AX9" s="4">
        <f>W9</f>
        <v>3.1783200000000003</v>
      </c>
    </row>
    <row r="10" spans="1:50" x14ac:dyDescent="0.2">
      <c r="A10" t="s">
        <v>3</v>
      </c>
      <c r="B10" s="2">
        <f>2*0.5</f>
        <v>1</v>
      </c>
      <c r="C10" s="2">
        <f>2*0.5</f>
        <v>1</v>
      </c>
      <c r="D10" s="2">
        <v>0</v>
      </c>
      <c r="E10" s="2">
        <v>0</v>
      </c>
      <c r="F10" s="2">
        <f>2*0.5</f>
        <v>1</v>
      </c>
      <c r="G10" s="2">
        <v>0</v>
      </c>
      <c r="H10" s="2">
        <v>0.5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>2400/2500</f>
        <v>0.96</v>
      </c>
      <c r="T10">
        <v>0.5</v>
      </c>
      <c r="U10">
        <v>0.5</v>
      </c>
      <c r="V10">
        <v>0.5</v>
      </c>
      <c r="W10">
        <v>0.5</v>
      </c>
      <c r="X10">
        <v>0</v>
      </c>
      <c r="Y10">
        <v>0</v>
      </c>
      <c r="Z10">
        <f>2*0.5</f>
        <v>1</v>
      </c>
      <c r="AA10">
        <f>2*0.5</f>
        <v>1</v>
      </c>
      <c r="AB10">
        <f>2*0.5</f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N10">
        <v>0</v>
      </c>
      <c r="AO10">
        <v>0</v>
      </c>
      <c r="AP10" s="19">
        <v>0</v>
      </c>
      <c r="AQ10" s="19">
        <v>0</v>
      </c>
      <c r="AR10">
        <v>0</v>
      </c>
      <c r="AS10">
        <v>0</v>
      </c>
      <c r="AT10">
        <v>0</v>
      </c>
      <c r="AU10">
        <v>0</v>
      </c>
      <c r="AV10" s="4">
        <v>0.5</v>
      </c>
      <c r="AW10">
        <v>0</v>
      </c>
      <c r="AX10" s="4">
        <f t="shared" ref="AX10:AX12" si="0">W10</f>
        <v>0.5</v>
      </c>
    </row>
    <row r="11" spans="1:50" x14ac:dyDescent="0.2">
      <c r="A11" t="s">
        <v>4</v>
      </c>
      <c r="B11" s="3">
        <f>5.79/12</f>
        <v>0.48249999999999998</v>
      </c>
      <c r="C11" s="3">
        <f>5.79/12</f>
        <v>0.48249999999999998</v>
      </c>
      <c r="D11" s="3">
        <f>5.79/12</f>
        <v>0.48249999999999998</v>
      </c>
      <c r="E11" s="3">
        <f>5.79/12</f>
        <v>0.48249999999999998</v>
      </c>
      <c r="F11" s="3">
        <f>5.79/12</f>
        <v>0.48249999999999998</v>
      </c>
      <c r="G11" s="3">
        <f>5.79/12</f>
        <v>0.48249999999999998</v>
      </c>
      <c r="H11" s="16">
        <v>0</v>
      </c>
      <c r="I11" s="16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3">
        <f>5.79/24</f>
        <v>0.24124999999999999</v>
      </c>
      <c r="Q11" s="3">
        <f>5.79/24</f>
        <v>0.24124999999999999</v>
      </c>
      <c r="R11" s="3">
        <f>5.79/24</f>
        <v>0.24124999999999999</v>
      </c>
      <c r="S11">
        <v>0</v>
      </c>
      <c r="T11" s="3">
        <f>5.79/15</f>
        <v>0.38600000000000001</v>
      </c>
      <c r="U11" s="3">
        <f>5.79/15</f>
        <v>0.38600000000000001</v>
      </c>
      <c r="V11">
        <v>0</v>
      </c>
      <c r="W11" s="3">
        <f>5.79/15</f>
        <v>0.38600000000000001</v>
      </c>
      <c r="X11">
        <v>0</v>
      </c>
      <c r="Y11">
        <v>0</v>
      </c>
      <c r="Z11" s="3">
        <f>5.79/24</f>
        <v>0.24124999999999999</v>
      </c>
      <c r="AA11" s="3">
        <f>5.79/24</f>
        <v>0.24124999999999999</v>
      </c>
      <c r="AB11" s="3">
        <f>5.79/24</f>
        <v>0.24124999999999999</v>
      </c>
      <c r="AC11" s="3">
        <f>5.79/24</f>
        <v>0.24124999999999999</v>
      </c>
      <c r="AD11" s="3">
        <f>5.79/48</f>
        <v>0.120625</v>
      </c>
      <c r="AE11" s="3">
        <f>5.79/48</f>
        <v>0.120625</v>
      </c>
      <c r="AF11" s="3">
        <f>5.79/48</f>
        <v>0.120625</v>
      </c>
      <c r="AG11" s="3">
        <f>5.79/48</f>
        <v>0.120625</v>
      </c>
      <c r="AH11" s="3">
        <f t="shared" ref="AH11:AJ11" si="1">5.79/48</f>
        <v>0.120625</v>
      </c>
      <c r="AI11" s="3">
        <f t="shared" si="1"/>
        <v>0.120625</v>
      </c>
      <c r="AJ11" s="3">
        <f t="shared" si="1"/>
        <v>0.120625</v>
      </c>
      <c r="AK11" s="3">
        <f>5.79/48</f>
        <v>0.120625</v>
      </c>
      <c r="AL11" s="3">
        <f>5.79/48</f>
        <v>0.120625</v>
      </c>
      <c r="AM11" s="3">
        <f>5.79/48</f>
        <v>0.120625</v>
      </c>
      <c r="AN11">
        <v>0</v>
      </c>
      <c r="AO11">
        <v>0</v>
      </c>
      <c r="AP11" s="19">
        <v>0</v>
      </c>
      <c r="AQ11" s="19">
        <v>0</v>
      </c>
      <c r="AR11">
        <v>0</v>
      </c>
      <c r="AS11">
        <v>0</v>
      </c>
      <c r="AT11">
        <v>0</v>
      </c>
      <c r="AU11">
        <v>0</v>
      </c>
      <c r="AV11" s="3">
        <f>5.79/12</f>
        <v>0.48249999999999998</v>
      </c>
      <c r="AW11">
        <v>0</v>
      </c>
      <c r="AX11" s="4">
        <f t="shared" si="0"/>
        <v>0.38600000000000001</v>
      </c>
    </row>
    <row r="12" spans="1:50" x14ac:dyDescent="0.2">
      <c r="A12" t="s">
        <v>5</v>
      </c>
      <c r="B12" s="3">
        <f>5/12/6</f>
        <v>6.9444444444444448E-2</v>
      </c>
      <c r="C12" s="3">
        <f>5/12/6</f>
        <v>6.9444444444444448E-2</v>
      </c>
      <c r="D12" s="3">
        <f>5/12/6</f>
        <v>6.9444444444444448E-2</v>
      </c>
      <c r="E12" s="3">
        <f>5/12/6</f>
        <v>6.9444444444444448E-2</v>
      </c>
      <c r="F12" s="3">
        <f>5/12/6</f>
        <v>6.9444444444444448E-2</v>
      </c>
      <c r="G12" s="3">
        <f>5/12/6</f>
        <v>6.9444444444444448E-2</v>
      </c>
      <c r="H12" s="16">
        <v>0</v>
      </c>
      <c r="I12" s="16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3">
        <f>5/24/4</f>
        <v>5.2083333333333336E-2</v>
      </c>
      <c r="Q12" s="3">
        <f>5/24/4</f>
        <v>5.2083333333333336E-2</v>
      </c>
      <c r="R12" s="3">
        <f>5/24/4</f>
        <v>5.2083333333333336E-2</v>
      </c>
      <c r="S12">
        <v>0</v>
      </c>
      <c r="T12" s="3">
        <f>5/15/6</f>
        <v>5.5555555555555552E-2</v>
      </c>
      <c r="U12" s="3">
        <f>5/15/4</f>
        <v>8.3333333333333329E-2</v>
      </c>
      <c r="V12">
        <v>0</v>
      </c>
      <c r="W12" s="3">
        <f>5/15/4</f>
        <v>8.3333333333333329E-2</v>
      </c>
      <c r="X12">
        <v>0</v>
      </c>
      <c r="Y12">
        <v>0</v>
      </c>
      <c r="Z12" s="3">
        <f>5/24/4</f>
        <v>5.2083333333333336E-2</v>
      </c>
      <c r="AA12" s="3">
        <f>5/24/4</f>
        <v>5.2083333333333336E-2</v>
      </c>
      <c r="AB12" s="3">
        <f>5/24/4</f>
        <v>5.2083333333333336E-2</v>
      </c>
      <c r="AC12" s="3">
        <f>5/24/4</f>
        <v>5.2083333333333336E-2</v>
      </c>
      <c r="AD12" s="3">
        <f>5/48/4</f>
        <v>2.6041666666666668E-2</v>
      </c>
      <c r="AE12" s="3">
        <f>5/48/4</f>
        <v>2.6041666666666668E-2</v>
      </c>
      <c r="AF12" s="3">
        <f>5/48/4</f>
        <v>2.6041666666666668E-2</v>
      </c>
      <c r="AG12" s="3">
        <f>5/48/4</f>
        <v>2.6041666666666668E-2</v>
      </c>
      <c r="AH12" s="3">
        <f t="shared" ref="AH12:AJ12" si="2">5/48/4</f>
        <v>2.6041666666666668E-2</v>
      </c>
      <c r="AI12" s="3">
        <f t="shared" si="2"/>
        <v>2.6041666666666668E-2</v>
      </c>
      <c r="AJ12" s="3">
        <f t="shared" si="2"/>
        <v>2.6041666666666668E-2</v>
      </c>
      <c r="AK12" s="3">
        <f>5/48/4</f>
        <v>2.6041666666666668E-2</v>
      </c>
      <c r="AL12" s="3">
        <f>5/48/4</f>
        <v>2.6041666666666668E-2</v>
      </c>
      <c r="AM12" s="3">
        <f>5/48/4</f>
        <v>2.6041666666666668E-2</v>
      </c>
      <c r="AN12">
        <v>0</v>
      </c>
      <c r="AO12">
        <v>0</v>
      </c>
      <c r="AP12" s="19">
        <v>0</v>
      </c>
      <c r="AQ12" s="19">
        <v>0</v>
      </c>
      <c r="AR12">
        <v>0</v>
      </c>
      <c r="AS12">
        <v>0</v>
      </c>
      <c r="AT12">
        <v>0</v>
      </c>
      <c r="AU12">
        <v>0</v>
      </c>
      <c r="AV12" s="3">
        <f>5/12/4</f>
        <v>0.10416666666666667</v>
      </c>
      <c r="AW12">
        <v>0</v>
      </c>
      <c r="AX12" s="4">
        <f t="shared" si="0"/>
        <v>8.3333333333333329E-2</v>
      </c>
    </row>
    <row r="13" spans="1:50" x14ac:dyDescent="0.2">
      <c r="A13" t="s">
        <v>6</v>
      </c>
      <c r="B13">
        <v>0</v>
      </c>
      <c r="C13">
        <v>0</v>
      </c>
      <c r="D13">
        <v>0</v>
      </c>
      <c r="E13">
        <v>0</v>
      </c>
      <c r="F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20">
        <f>1147/3000</f>
        <v>0.38233333333333336</v>
      </c>
      <c r="U13" s="20">
        <f>1147/3000*2</f>
        <v>0.76466666666666672</v>
      </c>
      <c r="V13">
        <v>0</v>
      </c>
      <c r="W13" s="19">
        <v>0</v>
      </c>
      <c r="X13" s="19">
        <v>0</v>
      </c>
      <c r="Y13" s="19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N13">
        <v>0</v>
      </c>
      <c r="AO13">
        <v>0</v>
      </c>
      <c r="AP13" s="19">
        <v>0</v>
      </c>
      <c r="AQ13" s="19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 t="s">
        <v>79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>0.4+0.2</f>
        <v>0.60000000000000009</v>
      </c>
      <c r="I14">
        <v>0</v>
      </c>
      <c r="T14" s="4"/>
      <c r="U14" s="4"/>
      <c r="V14">
        <f>1.1+0.2</f>
        <v>1.3</v>
      </c>
      <c r="X14" s="19">
        <v>0</v>
      </c>
      <c r="Y14" s="19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 t="s">
        <v>16</v>
      </c>
      <c r="B15" s="4">
        <f>SUM(B7:B13)*0.05</f>
        <v>0.60258930555555557</v>
      </c>
      <c r="C15" s="4">
        <f>SUM(C7:C13)*0.05</f>
        <v>0.56258930555555553</v>
      </c>
      <c r="D15" s="4">
        <f>SUM(D7:D13)*0.05</f>
        <v>0.89008930555555554</v>
      </c>
      <c r="E15" s="4">
        <f>SUM(E7:E13)*0.05</f>
        <v>0.98258930555555557</v>
      </c>
      <c r="F15" s="4">
        <f>SUM(F7:F12)*0.05</f>
        <v>0.84758930555555567</v>
      </c>
      <c r="G15" s="4">
        <f>SUM(G7:G13)*0.05</f>
        <v>1.0940893055555556</v>
      </c>
      <c r="H15" s="4">
        <f t="shared" ref="H15:Y15" si="3">SUM(H7:H12)*0.05</f>
        <v>0.57730000000000004</v>
      </c>
      <c r="I15" s="4">
        <f t="shared" si="3"/>
        <v>0.73799999999999999</v>
      </c>
      <c r="J15" s="4">
        <f t="shared" si="3"/>
        <v>0.80500000000000016</v>
      </c>
      <c r="K15" s="4">
        <f t="shared" si="3"/>
        <v>0.66250000000000009</v>
      </c>
      <c r="L15" s="4">
        <f t="shared" si="3"/>
        <v>1.42</v>
      </c>
      <c r="M15" s="4">
        <f t="shared" si="3"/>
        <v>0.46600000000000003</v>
      </c>
      <c r="N15" s="4">
        <f t="shared" si="3"/>
        <v>0.49000000000000005</v>
      </c>
      <c r="O15" s="4">
        <f t="shared" si="3"/>
        <v>0.47500000000000003</v>
      </c>
      <c r="P15" s="4">
        <f t="shared" si="3"/>
        <v>0.80581666666666651</v>
      </c>
      <c r="Q15" s="4">
        <f t="shared" si="3"/>
        <v>0.83966666666666667</v>
      </c>
      <c r="R15" s="4">
        <f t="shared" si="3"/>
        <v>0.79246666666666676</v>
      </c>
      <c r="S15" s="4">
        <f t="shared" si="3"/>
        <v>0.34</v>
      </c>
      <c r="T15" s="4">
        <f t="shared" si="3"/>
        <v>0.58714177777777776</v>
      </c>
      <c r="U15" s="4">
        <f t="shared" si="3"/>
        <v>0.63238266666666665</v>
      </c>
      <c r="V15" s="4">
        <f t="shared" si="3"/>
        <v>0.43230000000000007</v>
      </c>
      <c r="W15" s="4">
        <f t="shared" si="3"/>
        <v>0.55738266666666669</v>
      </c>
      <c r="X15" s="4">
        <f t="shared" si="3"/>
        <v>0.72600000000000009</v>
      </c>
      <c r="Y15" s="4">
        <f t="shared" si="3"/>
        <v>0.41650000000000004</v>
      </c>
      <c r="AC15" s="4">
        <f t="shared" ref="AC15:AF15" si="4">SUM(AC7:AC12)*0.05</f>
        <v>0.87021666666666675</v>
      </c>
      <c r="AD15" s="4">
        <f t="shared" ref="AD15:AE15" si="5">SUM(AD7:AD12)*0.05</f>
        <v>0.63565345255837058</v>
      </c>
      <c r="AE15" s="4">
        <f t="shared" si="5"/>
        <v>0.6531434525583707</v>
      </c>
      <c r="AF15" s="4">
        <f t="shared" si="4"/>
        <v>0.66409345255837071</v>
      </c>
      <c r="AG15" s="4">
        <f t="shared" ref="AG15:AL15" si="6">SUM(AG7:AG12)*0.05</f>
        <v>0.63709345255837058</v>
      </c>
      <c r="AH15" s="4">
        <f t="shared" si="6"/>
        <v>0.5165034525583706</v>
      </c>
      <c r="AI15" s="4">
        <f t="shared" si="6"/>
        <v>0.5252484525583706</v>
      </c>
      <c r="AJ15" s="4">
        <f t="shared" si="6"/>
        <v>0.53072345255837061</v>
      </c>
      <c r="AK15" s="4">
        <f t="shared" ref="AK15" si="7">SUM(AK7:AK12)*0.05</f>
        <v>0.51722345255837066</v>
      </c>
      <c r="AL15" s="4">
        <f t="shared" si="6"/>
        <v>0.60502345255837053</v>
      </c>
      <c r="AN15" s="4">
        <f t="shared" ref="AN15:AU15" si="8">SUM(AN7:AN12)*0.05</f>
        <v>0.62550000000000006</v>
      </c>
      <c r="AO15" s="4">
        <f t="shared" si="8"/>
        <v>0.68</v>
      </c>
      <c r="AP15" s="4">
        <f t="shared" si="8"/>
        <v>0.78</v>
      </c>
      <c r="AQ15" s="4">
        <f t="shared" si="8"/>
        <v>0.62550000000000006</v>
      </c>
      <c r="AR15" s="4">
        <f t="shared" si="8"/>
        <v>0.86000000000000021</v>
      </c>
      <c r="AS15" s="4">
        <f t="shared" si="8"/>
        <v>0.69000000000000006</v>
      </c>
      <c r="AT15" s="4">
        <f t="shared" si="8"/>
        <v>0.7400000000000001</v>
      </c>
      <c r="AU15" s="4">
        <f t="shared" si="8"/>
        <v>0.66250000000000009</v>
      </c>
      <c r="AV15" s="4">
        <f t="shared" ref="AV15:AW15" si="9">SUM(AV7:AV12)*0.05</f>
        <v>0.61441867928367921</v>
      </c>
      <c r="AW15" s="4">
        <f t="shared" si="9"/>
        <v>0.47934500000000002</v>
      </c>
      <c r="AX15" s="4">
        <f t="shared" ref="AX15" si="10">SUM(AX7:AX12)*0.05</f>
        <v>0.51738266666666666</v>
      </c>
    </row>
    <row r="16" spans="1:50" x14ac:dyDescent="0.2">
      <c r="A16" s="1" t="s">
        <v>14</v>
      </c>
      <c r="B16" s="5">
        <f t="shared" ref="B16:Y16" si="11">SUM(B7:B15)</f>
        <v>12.654375416666667</v>
      </c>
      <c r="C16" s="5">
        <f t="shared" si="11"/>
        <v>11.814375416666666</v>
      </c>
      <c r="D16" s="5">
        <f t="shared" ref="D16" si="12">SUM(D7:D15)</f>
        <v>18.691875416666665</v>
      </c>
      <c r="E16" s="5">
        <f t="shared" ref="E16" si="13">SUM(E7:E15)</f>
        <v>20.634375416666668</v>
      </c>
      <c r="F16" s="5">
        <f t="shared" si="11"/>
        <v>17.799375416666667</v>
      </c>
      <c r="G16" s="5">
        <f t="shared" si="11"/>
        <v>22.975875416666668</v>
      </c>
      <c r="H16" s="5">
        <f t="shared" si="11"/>
        <v>12.723299999999998</v>
      </c>
      <c r="I16" s="5">
        <f t="shared" si="11"/>
        <v>15.497999999999999</v>
      </c>
      <c r="J16" s="5">
        <f t="shared" si="11"/>
        <v>16.905000000000001</v>
      </c>
      <c r="K16" s="5">
        <f t="shared" si="11"/>
        <v>13.9125</v>
      </c>
      <c r="L16" s="5">
        <f t="shared" si="11"/>
        <v>29.82</v>
      </c>
      <c r="M16" s="5">
        <f t="shared" si="11"/>
        <v>9.7859999999999996</v>
      </c>
      <c r="N16" s="5">
        <f t="shared" si="11"/>
        <v>10.290000000000001</v>
      </c>
      <c r="O16" s="5">
        <f t="shared" si="11"/>
        <v>9.9749999999999996</v>
      </c>
      <c r="P16" s="5">
        <f t="shared" si="11"/>
        <v>16.922149999999995</v>
      </c>
      <c r="Q16" s="5">
        <f t="shared" si="11"/>
        <v>17.632999999999999</v>
      </c>
      <c r="R16" s="5">
        <f t="shared" si="11"/>
        <v>16.6418</v>
      </c>
      <c r="S16" s="5">
        <f t="shared" si="11"/>
        <v>7.14</v>
      </c>
      <c r="T16" s="5">
        <f t="shared" si="11"/>
        <v>12.712310666666665</v>
      </c>
      <c r="U16" s="5">
        <f t="shared" si="11"/>
        <v>14.044702666666666</v>
      </c>
      <c r="V16" s="5">
        <f t="shared" si="11"/>
        <v>10.378300000000001</v>
      </c>
      <c r="W16" s="5">
        <f t="shared" si="11"/>
        <v>11.705036</v>
      </c>
      <c r="X16" s="5">
        <f t="shared" si="11"/>
        <v>15.246000000000002</v>
      </c>
      <c r="Y16" s="5">
        <f t="shared" si="11"/>
        <v>8.7464999999999993</v>
      </c>
      <c r="AC16" s="5">
        <f t="shared" ref="AC16" si="14">SUM(AC7:AC15)</f>
        <v>18.274550000000001</v>
      </c>
      <c r="AD16" s="5">
        <f t="shared" ref="AD16" si="15">SUM(AD7:AD15)</f>
        <v>13.348722503725782</v>
      </c>
      <c r="AE16" s="5">
        <f t="shared" ref="AE16" si="16">SUM(AE7:AE15)</f>
        <v>13.716012503725784</v>
      </c>
      <c r="AF16" s="5">
        <f t="shared" ref="AF16:AN16" si="17">SUM(AF7:AF15)</f>
        <v>13.945962503725784</v>
      </c>
      <c r="AG16" s="5">
        <f t="shared" si="17"/>
        <v>13.378962503725782</v>
      </c>
      <c r="AH16" s="5">
        <f t="shared" ref="AH16" si="18">SUM(AH7:AH15)</f>
        <v>10.846572503725783</v>
      </c>
      <c r="AI16" s="5">
        <f t="shared" ref="AI16" si="19">SUM(AI7:AI15)</f>
        <v>11.030217503725783</v>
      </c>
      <c r="AJ16" s="5">
        <f t="shared" ref="AJ16" si="20">SUM(AJ7:AJ15)</f>
        <v>11.145192503725783</v>
      </c>
      <c r="AK16" s="5">
        <f t="shared" si="17"/>
        <v>10.861692503725783</v>
      </c>
      <c r="AL16" s="5">
        <f t="shared" si="17"/>
        <v>12.705492503725781</v>
      </c>
      <c r="AN16" s="5">
        <f t="shared" si="17"/>
        <v>13.1355</v>
      </c>
      <c r="AO16" s="5">
        <f t="shared" ref="AO16" si="21">SUM(AO7:AO15)</f>
        <v>14.28</v>
      </c>
      <c r="AP16" s="5">
        <f t="shared" ref="AP16" si="22">SUM(AP7:AP15)</f>
        <v>16.38</v>
      </c>
      <c r="AQ16" s="5">
        <f t="shared" ref="AQ16" si="23">SUM(AQ7:AQ15)</f>
        <v>13.1355</v>
      </c>
      <c r="AR16" s="5">
        <f t="shared" ref="AR16" si="24">SUM(AR7:AR15)</f>
        <v>18.060000000000002</v>
      </c>
      <c r="AS16" s="5">
        <f t="shared" ref="AS16" si="25">SUM(AS7:AS15)</f>
        <v>14.49</v>
      </c>
      <c r="AT16" s="5">
        <f t="shared" ref="AT16" si="26">SUM(AT7:AT15)</f>
        <v>15.540000000000001</v>
      </c>
      <c r="AU16" s="5">
        <f t="shared" ref="AU16" si="27">SUM(AU7:AU15)</f>
        <v>13.9125</v>
      </c>
      <c r="AV16" s="5">
        <f t="shared" ref="AV16:AX16" si="28">SUM(AV7:AV15)</f>
        <v>12.902792264957261</v>
      </c>
      <c r="AW16" s="5">
        <f t="shared" si="28"/>
        <v>10.066245</v>
      </c>
      <c r="AX16" s="5">
        <f t="shared" si="28"/>
        <v>10.865036</v>
      </c>
    </row>
    <row r="17" spans="1:50" x14ac:dyDescent="0.2">
      <c r="A17" s="1" t="s">
        <v>15</v>
      </c>
      <c r="B17" s="5">
        <f t="shared" ref="B17:V17" si="29">B16/$B$1</f>
        <v>3.6155358333333334</v>
      </c>
      <c r="C17" s="5">
        <f t="shared" si="29"/>
        <v>3.3755358333333332</v>
      </c>
      <c r="D17" s="5">
        <f t="shared" ref="D17:E17" si="30">D16/$B$1</f>
        <v>5.340535833333333</v>
      </c>
      <c r="E17" s="5">
        <f t="shared" si="30"/>
        <v>5.8955358333333336</v>
      </c>
      <c r="F17" s="5">
        <f t="shared" si="29"/>
        <v>5.0855358333333331</v>
      </c>
      <c r="G17" s="5">
        <f t="shared" si="29"/>
        <v>6.5645358333333332</v>
      </c>
      <c r="H17" s="5">
        <f t="shared" si="29"/>
        <v>3.6352285714285708</v>
      </c>
      <c r="I17" s="5">
        <f t="shared" ref="I17" si="31">I16/$B$1</f>
        <v>4.4279999999999999</v>
      </c>
      <c r="J17" s="5">
        <f t="shared" si="29"/>
        <v>4.83</v>
      </c>
      <c r="K17" s="5">
        <f t="shared" si="29"/>
        <v>3.9750000000000001</v>
      </c>
      <c r="L17" s="5">
        <f t="shared" si="29"/>
        <v>8.52</v>
      </c>
      <c r="M17" s="5">
        <f t="shared" si="29"/>
        <v>2.7959999999999998</v>
      </c>
      <c r="N17" s="5">
        <f t="shared" si="29"/>
        <v>2.9400000000000004</v>
      </c>
      <c r="O17" s="5">
        <f t="shared" si="29"/>
        <v>2.85</v>
      </c>
      <c r="P17" s="5">
        <f t="shared" si="29"/>
        <v>4.8348999999999984</v>
      </c>
      <c r="Q17" s="5">
        <f t="shared" si="29"/>
        <v>5.0379999999999994</v>
      </c>
      <c r="R17" s="5">
        <f t="shared" si="29"/>
        <v>4.7548000000000004</v>
      </c>
      <c r="S17" s="5">
        <f t="shared" si="29"/>
        <v>2.04</v>
      </c>
      <c r="T17" s="5">
        <f t="shared" si="29"/>
        <v>3.6320887619047615</v>
      </c>
      <c r="U17" s="5">
        <f t="shared" si="29"/>
        <v>4.0127721904761904</v>
      </c>
      <c r="V17" s="5">
        <f t="shared" si="29"/>
        <v>2.9652285714285718</v>
      </c>
      <c r="W17" s="5">
        <f t="shared" ref="W17:X17" si="32">W16/$B$1</f>
        <v>3.3442959999999999</v>
      </c>
      <c r="X17" s="5">
        <f t="shared" si="32"/>
        <v>4.3560000000000008</v>
      </c>
      <c r="Y17" s="5">
        <f t="shared" ref="Y17" si="33">Y16/$B$1</f>
        <v>2.4989999999999997</v>
      </c>
      <c r="AC17" s="5">
        <f t="shared" ref="AC17:AF17" si="34">AC16/$B$1</f>
        <v>5.2213000000000003</v>
      </c>
      <c r="AD17" s="5">
        <f t="shared" ref="AD17:AE17" si="35">AD16/$B$1</f>
        <v>3.8139207153502235</v>
      </c>
      <c r="AE17" s="5">
        <f t="shared" si="35"/>
        <v>3.918860715350224</v>
      </c>
      <c r="AF17" s="5">
        <f t="shared" si="34"/>
        <v>3.984560715350224</v>
      </c>
      <c r="AG17" s="5">
        <f t="shared" ref="AG17:AL17" si="36">AG16/$B$1</f>
        <v>3.8225607153502237</v>
      </c>
      <c r="AH17" s="5">
        <f t="shared" si="36"/>
        <v>3.0990207153502238</v>
      </c>
      <c r="AI17" s="5">
        <f t="shared" si="36"/>
        <v>3.1514907153502238</v>
      </c>
      <c r="AJ17" s="5">
        <f t="shared" si="36"/>
        <v>3.1843407153502237</v>
      </c>
      <c r="AK17" s="5">
        <f t="shared" ref="AK17" si="37">AK16/$B$1</f>
        <v>3.1033407153502237</v>
      </c>
      <c r="AL17" s="5">
        <f t="shared" si="36"/>
        <v>3.630140715350223</v>
      </c>
      <c r="AN17" s="5">
        <f t="shared" ref="AN17:AU17" si="38">AN16/$B$1</f>
        <v>3.7530000000000001</v>
      </c>
      <c r="AO17" s="5">
        <f t="shared" si="38"/>
        <v>4.08</v>
      </c>
      <c r="AP17" s="5">
        <f t="shared" si="38"/>
        <v>4.68</v>
      </c>
      <c r="AQ17" s="5">
        <f t="shared" si="38"/>
        <v>3.7530000000000001</v>
      </c>
      <c r="AR17" s="5">
        <f t="shared" si="38"/>
        <v>5.160000000000001</v>
      </c>
      <c r="AS17" s="5">
        <f t="shared" si="38"/>
        <v>4.1399999999999997</v>
      </c>
      <c r="AT17" s="5">
        <f t="shared" si="38"/>
        <v>4.4400000000000004</v>
      </c>
      <c r="AU17" s="5">
        <f t="shared" si="38"/>
        <v>3.9750000000000001</v>
      </c>
      <c r="AV17" s="5">
        <f t="shared" ref="AV17:AW17" si="39">AV16/$B$1</f>
        <v>3.6865120757020748</v>
      </c>
      <c r="AW17" s="5">
        <f t="shared" si="39"/>
        <v>2.8760699999999999</v>
      </c>
      <c r="AX17" s="5">
        <f t="shared" ref="AX17" si="40">AX16/$B$1</f>
        <v>3.1042960000000002</v>
      </c>
    </row>
    <row r="19" spans="1:50" x14ac:dyDescent="0.2">
      <c r="A19" t="s">
        <v>17</v>
      </c>
      <c r="B19">
        <v>24</v>
      </c>
      <c r="C19">
        <v>25</v>
      </c>
      <c r="D19">
        <v>24</v>
      </c>
      <c r="E19">
        <v>25</v>
      </c>
      <c r="F19">
        <v>24</v>
      </c>
      <c r="G19">
        <v>24</v>
      </c>
      <c r="H19">
        <v>32</v>
      </c>
      <c r="I19">
        <v>32</v>
      </c>
      <c r="J19">
        <v>33</v>
      </c>
      <c r="K19">
        <v>19</v>
      </c>
      <c r="L19">
        <v>29</v>
      </c>
      <c r="P19">
        <v>25</v>
      </c>
      <c r="Q19">
        <v>25</v>
      </c>
      <c r="R19">
        <v>25</v>
      </c>
      <c r="S19">
        <v>18</v>
      </c>
      <c r="T19">
        <v>28</v>
      </c>
      <c r="U19">
        <v>27</v>
      </c>
      <c r="V19">
        <v>27</v>
      </c>
      <c r="W19">
        <v>28</v>
      </c>
      <c r="X19">
        <v>18</v>
      </c>
      <c r="Y19">
        <v>16</v>
      </c>
      <c r="Z19">
        <v>25</v>
      </c>
      <c r="AA19">
        <v>25</v>
      </c>
      <c r="AB19">
        <v>25</v>
      </c>
      <c r="AC19">
        <v>27</v>
      </c>
      <c r="AD19">
        <v>24</v>
      </c>
      <c r="AE19">
        <v>24</v>
      </c>
      <c r="AF19">
        <v>24</v>
      </c>
      <c r="AG19">
        <v>24</v>
      </c>
      <c r="AH19">
        <v>15</v>
      </c>
      <c r="AI19">
        <v>15</v>
      </c>
      <c r="AJ19">
        <v>15</v>
      </c>
      <c r="AK19">
        <v>15</v>
      </c>
      <c r="AL19">
        <v>24</v>
      </c>
      <c r="AM19">
        <v>24</v>
      </c>
      <c r="AN19">
        <v>27</v>
      </c>
      <c r="AO19">
        <v>27</v>
      </c>
      <c r="AP19">
        <v>33</v>
      </c>
      <c r="AQ19">
        <v>19</v>
      </c>
      <c r="AR19">
        <v>33</v>
      </c>
      <c r="AS19">
        <v>19</v>
      </c>
      <c r="AT19">
        <v>33</v>
      </c>
      <c r="AU19">
        <v>19</v>
      </c>
      <c r="AV19">
        <v>36</v>
      </c>
      <c r="AW19">
        <v>9</v>
      </c>
      <c r="AX19">
        <v>38</v>
      </c>
    </row>
    <row r="20" spans="1:50" x14ac:dyDescent="0.2">
      <c r="A20" t="s">
        <v>18</v>
      </c>
      <c r="B20" s="6">
        <f t="shared" ref="B20:L20" si="41">1-B17/B19</f>
        <v>0.84935267361111111</v>
      </c>
      <c r="C20" s="6">
        <f t="shared" si="41"/>
        <v>0.86497856666666673</v>
      </c>
      <c r="D20" s="6">
        <f t="shared" ref="D20:E20" si="42">1-D17/D19</f>
        <v>0.77747767361111109</v>
      </c>
      <c r="E20" s="6">
        <f t="shared" si="42"/>
        <v>0.76417856666666661</v>
      </c>
      <c r="F20" s="6">
        <f t="shared" si="41"/>
        <v>0.78810267361111108</v>
      </c>
      <c r="G20" s="6">
        <f t="shared" si="41"/>
        <v>0.72647767361111115</v>
      </c>
      <c r="H20" s="6">
        <f t="shared" si="41"/>
        <v>0.88639910714285719</v>
      </c>
      <c r="I20" s="6">
        <f t="shared" si="41"/>
        <v>0.86162499999999997</v>
      </c>
      <c r="J20" s="6">
        <f t="shared" si="41"/>
        <v>0.85363636363636364</v>
      </c>
      <c r="K20" s="6">
        <f t="shared" si="41"/>
        <v>0.79078947368421049</v>
      </c>
      <c r="L20" s="6">
        <f t="shared" si="41"/>
        <v>0.70620689655172408</v>
      </c>
      <c r="M20" s="6"/>
      <c r="N20" s="6"/>
      <c r="O20" s="6"/>
      <c r="P20" s="6">
        <f t="shared" ref="P20:Y20" si="43">1-P17/P19</f>
        <v>0.8066040000000001</v>
      </c>
      <c r="Q20" s="6">
        <f t="shared" si="43"/>
        <v>0.79848000000000008</v>
      </c>
      <c r="R20" s="6">
        <f t="shared" si="43"/>
        <v>0.80980799999999997</v>
      </c>
      <c r="S20" s="6">
        <f t="shared" si="43"/>
        <v>0.88666666666666671</v>
      </c>
      <c r="T20" s="6">
        <f t="shared" si="43"/>
        <v>0.87028254421768714</v>
      </c>
      <c r="U20" s="6">
        <f t="shared" si="43"/>
        <v>0.85137880776014108</v>
      </c>
      <c r="V20" s="6">
        <f t="shared" si="43"/>
        <v>0.89017671957671962</v>
      </c>
      <c r="W20" s="6">
        <f t="shared" si="43"/>
        <v>0.88056085714285715</v>
      </c>
      <c r="X20" s="6">
        <f t="shared" si="43"/>
        <v>0.75800000000000001</v>
      </c>
      <c r="Y20" s="6">
        <f t="shared" si="43"/>
        <v>0.84381250000000008</v>
      </c>
      <c r="Z20" s="6">
        <f t="shared" ref="Z20" si="44">1-Z17/Z19</f>
        <v>1</v>
      </c>
      <c r="AA20" s="6">
        <f t="shared" ref="AA20:AK20" si="45">1-AA17/AA19</f>
        <v>1</v>
      </c>
      <c r="AB20" s="6">
        <f t="shared" si="45"/>
        <v>1</v>
      </c>
      <c r="AC20" s="6">
        <f t="shared" si="45"/>
        <v>0.80661851851851851</v>
      </c>
      <c r="AD20" s="6">
        <f t="shared" ref="AD20:AF20" si="46">1-AD17/AD19</f>
        <v>0.8410866368604073</v>
      </c>
      <c r="AE20" s="6">
        <f t="shared" si="46"/>
        <v>0.8367141368604073</v>
      </c>
      <c r="AF20" s="6">
        <f t="shared" si="46"/>
        <v>0.83397663686040735</v>
      </c>
      <c r="AG20" s="6">
        <f t="shared" si="45"/>
        <v>0.84072663686040738</v>
      </c>
      <c r="AH20" s="6">
        <f t="shared" ref="AH20:AJ20" si="47">1-AH17/AH19</f>
        <v>0.79339861897665176</v>
      </c>
      <c r="AI20" s="6">
        <f t="shared" si="47"/>
        <v>0.78990061897665176</v>
      </c>
      <c r="AJ20" s="6">
        <f t="shared" si="47"/>
        <v>0.78771061897665173</v>
      </c>
      <c r="AK20" s="6">
        <f t="shared" si="45"/>
        <v>0.79311061897665169</v>
      </c>
      <c r="AL20" s="6">
        <f t="shared" ref="AL20:AM20" si="48">1-AL17/AL19</f>
        <v>0.84874413686040739</v>
      </c>
      <c r="AM20" s="6">
        <f t="shared" si="48"/>
        <v>1</v>
      </c>
      <c r="AN20" s="6">
        <f t="shared" ref="AN20:AU20" si="49">1-AN17/AN19</f>
        <v>0.86099999999999999</v>
      </c>
      <c r="AO20" s="6">
        <f t="shared" si="49"/>
        <v>0.84888888888888892</v>
      </c>
      <c r="AP20" s="6">
        <f t="shared" si="49"/>
        <v>0.85818181818181816</v>
      </c>
      <c r="AQ20" s="6">
        <f t="shared" si="49"/>
        <v>0.80247368421052634</v>
      </c>
      <c r="AR20" s="6">
        <f t="shared" si="49"/>
        <v>0.84363636363636363</v>
      </c>
      <c r="AS20" s="6">
        <f t="shared" si="49"/>
        <v>0.78210526315789475</v>
      </c>
      <c r="AT20" s="6">
        <f t="shared" si="49"/>
        <v>0.86545454545454548</v>
      </c>
      <c r="AU20" s="6">
        <f t="shared" si="49"/>
        <v>0.79078947368421049</v>
      </c>
      <c r="AV20" s="6">
        <f t="shared" ref="AV20:AW20" si="50">1-AV17/AV19</f>
        <v>0.89759688678605354</v>
      </c>
      <c r="AW20" s="6">
        <f t="shared" si="50"/>
        <v>0.68043666666666669</v>
      </c>
      <c r="AX20" s="6">
        <f t="shared" ref="AX20" si="51">1-AX17/AX19</f>
        <v>0.91830800000000001</v>
      </c>
    </row>
    <row r="22" spans="1:50" x14ac:dyDescent="0.2">
      <c r="A22" s="1" t="s">
        <v>75</v>
      </c>
    </row>
    <row r="23" spans="1:50" x14ac:dyDescent="0.2">
      <c r="A23" t="s">
        <v>73</v>
      </c>
      <c r="L23">
        <f>0.73+0.15</f>
        <v>0.88</v>
      </c>
    </row>
    <row r="24" spans="1:50" x14ac:dyDescent="0.2">
      <c r="A24" t="s">
        <v>74</v>
      </c>
      <c r="L24">
        <v>1.75</v>
      </c>
    </row>
    <row r="25" spans="1:50" x14ac:dyDescent="0.2">
      <c r="A25" t="s">
        <v>15</v>
      </c>
      <c r="L25" s="4">
        <f>L17+SUM(L23:L24)</f>
        <v>11.149999999999999</v>
      </c>
      <c r="M25" s="4"/>
      <c r="N25" s="4"/>
    </row>
    <row r="26" spans="1:50" x14ac:dyDescent="0.2">
      <c r="A26" t="s">
        <v>17</v>
      </c>
      <c r="L26">
        <v>15</v>
      </c>
    </row>
    <row r="27" spans="1:50" x14ac:dyDescent="0.2">
      <c r="A27" t="s">
        <v>18</v>
      </c>
      <c r="L27" s="6">
        <f>1-(L25/L26)</f>
        <v>0.25666666666666671</v>
      </c>
      <c r="M27" s="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1D26-13C9-3341-AF8D-73264EB94E98}">
  <dimension ref="A1:H13"/>
  <sheetViews>
    <sheetView workbookViewId="0">
      <selection activeCell="C7" sqref="C7"/>
    </sheetView>
  </sheetViews>
  <sheetFormatPr baseColWidth="10" defaultRowHeight="16" x14ac:dyDescent="0.2"/>
  <cols>
    <col min="1" max="1" width="13.83203125" bestFit="1" customWidth="1"/>
  </cols>
  <sheetData>
    <row r="1" spans="1:8" x14ac:dyDescent="0.2">
      <c r="B1" s="1" t="s">
        <v>150</v>
      </c>
      <c r="C1" s="1" t="s">
        <v>152</v>
      </c>
      <c r="G1" t="s">
        <v>155</v>
      </c>
      <c r="H1">
        <v>3.5</v>
      </c>
    </row>
    <row r="2" spans="1:8" x14ac:dyDescent="0.2">
      <c r="A2" t="s">
        <v>148</v>
      </c>
      <c r="B2" s="25">
        <v>0.12</v>
      </c>
      <c r="E2">
        <v>20130</v>
      </c>
    </row>
    <row r="3" spans="1:8" x14ac:dyDescent="0.2">
      <c r="A3" t="s">
        <v>149</v>
      </c>
      <c r="B3" s="25">
        <v>0.12</v>
      </c>
      <c r="C3" s="25">
        <v>0.2</v>
      </c>
      <c r="E3">
        <v>20130</v>
      </c>
    </row>
    <row r="4" spans="1:8" x14ac:dyDescent="0.2">
      <c r="A4" t="s">
        <v>151</v>
      </c>
      <c r="B4" s="25">
        <v>0.1</v>
      </c>
    </row>
    <row r="6" spans="1:8" x14ac:dyDescent="0.2">
      <c r="A6" t="s">
        <v>148</v>
      </c>
      <c r="B6" s="26">
        <f>B2*$H$1</f>
        <v>0.42</v>
      </c>
      <c r="C6" s="26"/>
    </row>
    <row r="7" spans="1:8" x14ac:dyDescent="0.2">
      <c r="A7" t="s">
        <v>149</v>
      </c>
      <c r="B7" s="26">
        <f>B3*$H$1</f>
        <v>0.42</v>
      </c>
      <c r="C7" s="26">
        <f>C3*$H$1</f>
        <v>0.70000000000000007</v>
      </c>
    </row>
    <row r="8" spans="1:8" x14ac:dyDescent="0.2">
      <c r="A8" t="s">
        <v>151</v>
      </c>
      <c r="B8" s="26">
        <f>B4*$H$1</f>
        <v>0.35000000000000003</v>
      </c>
      <c r="C8" s="26"/>
    </row>
    <row r="10" spans="1:8" x14ac:dyDescent="0.2">
      <c r="A10" t="s">
        <v>153</v>
      </c>
      <c r="E10" s="25">
        <v>1500</v>
      </c>
    </row>
    <row r="11" spans="1:8" x14ac:dyDescent="0.2">
      <c r="A11" t="s">
        <v>154</v>
      </c>
      <c r="E11" s="25">
        <f>E10/SUM(E2:E3)</f>
        <v>3.7257824143070044E-2</v>
      </c>
      <c r="F11" s="26">
        <f>E11*H1</f>
        <v>0.13040238450074515</v>
      </c>
    </row>
    <row r="13" spans="1:8" x14ac:dyDescent="0.2">
      <c r="A13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5E1EC-AC58-5043-BBA3-07F8B3D99B4E}">
  <dimension ref="A1:C3"/>
  <sheetViews>
    <sheetView workbookViewId="0">
      <selection activeCell="C3" sqref="C2:C3"/>
    </sheetView>
  </sheetViews>
  <sheetFormatPr baseColWidth="10" defaultRowHeight="16" x14ac:dyDescent="0.2"/>
  <cols>
    <col min="1" max="1" width="24.83203125" bestFit="1" customWidth="1"/>
  </cols>
  <sheetData>
    <row r="1" spans="1:3" x14ac:dyDescent="0.2">
      <c r="A1" t="s">
        <v>9</v>
      </c>
      <c r="B1" t="s">
        <v>12</v>
      </c>
      <c r="C1" t="s">
        <v>13</v>
      </c>
    </row>
    <row r="2" spans="1:3" x14ac:dyDescent="0.2">
      <c r="A2" t="s">
        <v>10</v>
      </c>
      <c r="B2">
        <v>0.37</v>
      </c>
      <c r="C2" s="3">
        <f>B2*'BOM Maapilim'!$B$1</f>
        <v>1.2949999999999999</v>
      </c>
    </row>
    <row r="3" spans="1:3" x14ac:dyDescent="0.2">
      <c r="A3" t="s">
        <v>11</v>
      </c>
      <c r="B3" s="3">
        <f>C3/'BOM Maapilim'!B1</f>
        <v>0.17563571428571428</v>
      </c>
      <c r="C3" s="3">
        <f>12294.5/20000</f>
        <v>0.61472499999999997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F329-8BE0-9D49-A5D9-9343FEEE840C}">
  <dimension ref="A1:F10"/>
  <sheetViews>
    <sheetView workbookViewId="0">
      <selection activeCell="E9" sqref="E9"/>
    </sheetView>
  </sheetViews>
  <sheetFormatPr baseColWidth="10" defaultRowHeight="16" x14ac:dyDescent="0.2"/>
  <cols>
    <col min="1" max="1" width="23" bestFit="1" customWidth="1"/>
    <col min="2" max="5" width="17.5" customWidth="1"/>
    <col min="6" max="6" width="34.33203125" customWidth="1"/>
  </cols>
  <sheetData>
    <row r="1" spans="1:6" x14ac:dyDescent="0.2">
      <c r="A1" t="s">
        <v>91</v>
      </c>
      <c r="B1" t="s">
        <v>92</v>
      </c>
      <c r="C1" t="s">
        <v>93</v>
      </c>
      <c r="D1" t="s">
        <v>94</v>
      </c>
      <c r="E1" t="s">
        <v>95</v>
      </c>
    </row>
    <row r="2" spans="1:6" x14ac:dyDescent="0.2">
      <c r="A2" s="21" t="s">
        <v>96</v>
      </c>
      <c r="B2">
        <v>1.0999999999999999E-2</v>
      </c>
      <c r="C2">
        <f>B2*'BOM Maapilim'!B1</f>
        <v>3.85E-2</v>
      </c>
      <c r="D2">
        <v>40000</v>
      </c>
      <c r="E2">
        <f>C2*D2</f>
        <v>1540</v>
      </c>
      <c r="F2" t="s">
        <v>105</v>
      </c>
    </row>
    <row r="3" spans="1:6" x14ac:dyDescent="0.2">
      <c r="A3" s="21" t="s">
        <v>97</v>
      </c>
      <c r="B3">
        <v>1.2999999999999999E-2</v>
      </c>
      <c r="C3">
        <f>B3*'BOM Maapilim'!B1</f>
        <v>4.5499999999999999E-2</v>
      </c>
      <c r="D3">
        <v>40000</v>
      </c>
      <c r="E3">
        <f t="shared" ref="E3:E4" si="0">C3*D3</f>
        <v>1820</v>
      </c>
      <c r="F3" t="s">
        <v>104</v>
      </c>
    </row>
    <row r="4" spans="1:6" x14ac:dyDescent="0.2">
      <c r="A4" t="s">
        <v>98</v>
      </c>
      <c r="B4">
        <v>1.4E-2</v>
      </c>
      <c r="C4">
        <f>B4*'BOM Maapilim'!B1</f>
        <v>4.9000000000000002E-2</v>
      </c>
      <c r="D4">
        <v>40000</v>
      </c>
      <c r="E4">
        <f t="shared" si="0"/>
        <v>1960</v>
      </c>
      <c r="F4" t="s">
        <v>103</v>
      </c>
    </row>
    <row r="7" spans="1:6" x14ac:dyDescent="0.2">
      <c r="A7" t="s">
        <v>99</v>
      </c>
      <c r="B7">
        <v>1050</v>
      </c>
    </row>
    <row r="8" spans="1:6" x14ac:dyDescent="0.2">
      <c r="A8" t="s">
        <v>100</v>
      </c>
      <c r="C8">
        <v>1259</v>
      </c>
    </row>
    <row r="9" spans="1:6" x14ac:dyDescent="0.2">
      <c r="A9" t="s">
        <v>101</v>
      </c>
      <c r="E9">
        <f>C8+B7*'BOM Maapilim'!B1</f>
        <v>4934</v>
      </c>
    </row>
    <row r="10" spans="1:6" x14ac:dyDescent="0.2">
      <c r="A10" t="s">
        <v>102</v>
      </c>
      <c r="E10" s="22">
        <f>E9/SUM(D2:D4)</f>
        <v>4.1116666666666669E-2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FDE9-A19E-F54F-B080-ED67CA743D42}">
  <dimension ref="A1:C7"/>
  <sheetViews>
    <sheetView workbookViewId="0">
      <selection activeCell="E20" sqref="E20"/>
    </sheetView>
  </sheetViews>
  <sheetFormatPr baseColWidth="10" defaultRowHeight="16" x14ac:dyDescent="0.2"/>
  <cols>
    <col min="1" max="1" width="14.5" customWidth="1"/>
  </cols>
  <sheetData>
    <row r="1" spans="1:3" x14ac:dyDescent="0.2">
      <c r="B1" t="s">
        <v>169</v>
      </c>
      <c r="C1" t="s">
        <v>170</v>
      </c>
    </row>
    <row r="2" spans="1:3" x14ac:dyDescent="0.2">
      <c r="A2" t="s">
        <v>171</v>
      </c>
      <c r="B2">
        <v>0.9</v>
      </c>
      <c r="C2">
        <v>0.8</v>
      </c>
    </row>
    <row r="3" spans="1:3" x14ac:dyDescent="0.2">
      <c r="A3" t="s">
        <v>172</v>
      </c>
      <c r="B3">
        <v>12</v>
      </c>
      <c r="C3">
        <v>6</v>
      </c>
    </row>
    <row r="4" spans="1:3" x14ac:dyDescent="0.2">
      <c r="A4" t="s">
        <v>173</v>
      </c>
      <c r="B4">
        <v>1</v>
      </c>
      <c r="C4">
        <v>0.96</v>
      </c>
    </row>
    <row r="5" spans="1:3" x14ac:dyDescent="0.2">
      <c r="A5" t="s">
        <v>174</v>
      </c>
      <c r="B5">
        <v>0.05</v>
      </c>
      <c r="C5">
        <v>0.05</v>
      </c>
    </row>
    <row r="6" spans="1:3" x14ac:dyDescent="0.2">
      <c r="A6" t="s">
        <v>175</v>
      </c>
      <c r="B6">
        <v>0.56999999999999995</v>
      </c>
      <c r="C6">
        <v>0.52</v>
      </c>
    </row>
    <row r="7" spans="1:3" x14ac:dyDescent="0.2">
      <c r="A7" s="1" t="s">
        <v>101</v>
      </c>
      <c r="B7" s="1">
        <f>SUM(B2:B6)</f>
        <v>14.520000000000001</v>
      </c>
      <c r="C7" s="1">
        <f>SUM(C2:C6)</f>
        <v>8.33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34FEE-7B3E-8B4A-9E17-9A1986B326D5}">
  <dimension ref="A1:B7"/>
  <sheetViews>
    <sheetView zoomScale="130" zoomScaleNormal="130" workbookViewId="0">
      <selection activeCell="A8" sqref="A8"/>
    </sheetView>
  </sheetViews>
  <sheetFormatPr baseColWidth="10" defaultRowHeight="16" x14ac:dyDescent="0.2"/>
  <cols>
    <col min="1" max="1" width="16.5" bestFit="1" customWidth="1"/>
  </cols>
  <sheetData>
    <row r="1" spans="1:2" x14ac:dyDescent="0.2">
      <c r="A1" s="1" t="s">
        <v>162</v>
      </c>
    </row>
    <row r="2" spans="1:2" x14ac:dyDescent="0.2">
      <c r="A2" t="s">
        <v>161</v>
      </c>
      <c r="B2">
        <v>2</v>
      </c>
    </row>
    <row r="3" spans="1:2" x14ac:dyDescent="0.2">
      <c r="A3" t="s">
        <v>163</v>
      </c>
      <c r="B3">
        <v>2</v>
      </c>
    </row>
    <row r="4" spans="1:2" x14ac:dyDescent="0.2">
      <c r="A4" t="s">
        <v>164</v>
      </c>
      <c r="B4">
        <v>2</v>
      </c>
    </row>
    <row r="5" spans="1:2" x14ac:dyDescent="0.2">
      <c r="A5" t="s">
        <v>165</v>
      </c>
      <c r="B5">
        <v>3</v>
      </c>
    </row>
    <row r="6" spans="1:2" x14ac:dyDescent="0.2">
      <c r="A6" t="s">
        <v>166</v>
      </c>
      <c r="B6">
        <v>2</v>
      </c>
    </row>
    <row r="7" spans="1:2" x14ac:dyDescent="0.2">
      <c r="A7" t="s">
        <v>167</v>
      </c>
      <c r="B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FF03F-E2CD-CB4D-AA7D-A72E8F69AF18}">
  <dimension ref="A1:Z21"/>
  <sheetViews>
    <sheetView rightToLeft="1" zoomScale="120" zoomScaleNormal="120" workbookViewId="0">
      <selection activeCell="E13" sqref="E13"/>
    </sheetView>
  </sheetViews>
  <sheetFormatPr baseColWidth="10" defaultRowHeight="16" x14ac:dyDescent="0.2"/>
  <cols>
    <col min="1" max="1" width="32.33203125" bestFit="1" customWidth="1"/>
    <col min="11" max="11" width="25.83203125" bestFit="1" customWidth="1"/>
  </cols>
  <sheetData>
    <row r="1" spans="1:26" x14ac:dyDescent="0.2">
      <c r="A1" s="23" t="s">
        <v>107</v>
      </c>
      <c r="B1" s="23" t="s">
        <v>108</v>
      </c>
      <c r="C1" s="23" t="s">
        <v>109</v>
      </c>
      <c r="D1" s="23" t="s">
        <v>110</v>
      </c>
      <c r="E1" s="23" t="s">
        <v>111</v>
      </c>
      <c r="F1" s="23" t="s">
        <v>112</v>
      </c>
      <c r="G1" s="23" t="s">
        <v>113</v>
      </c>
      <c r="H1" s="23" t="s">
        <v>114</v>
      </c>
      <c r="I1" s="23" t="s">
        <v>115</v>
      </c>
      <c r="J1" s="23" t="s">
        <v>116</v>
      </c>
      <c r="K1" s="23" t="s">
        <v>117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x14ac:dyDescent="0.2">
      <c r="A2" s="8" t="s">
        <v>19</v>
      </c>
      <c r="B2" s="8" t="s">
        <v>20</v>
      </c>
      <c r="C2" s="8" t="s">
        <v>21</v>
      </c>
      <c r="D2" s="9"/>
      <c r="E2" s="8">
        <v>1300</v>
      </c>
      <c r="F2" s="8" t="s">
        <v>22</v>
      </c>
      <c r="G2" s="8" t="s">
        <v>23</v>
      </c>
      <c r="H2" s="9"/>
      <c r="I2" s="9"/>
      <c r="J2" s="9"/>
      <c r="K2" s="8" t="s">
        <v>24</v>
      </c>
    </row>
    <row r="3" spans="1:26" x14ac:dyDescent="0.2">
      <c r="A3" s="10" t="s">
        <v>25</v>
      </c>
      <c r="B3" s="11" t="s">
        <v>26</v>
      </c>
      <c r="C3" s="11" t="s">
        <v>21</v>
      </c>
      <c r="D3" s="11" t="s">
        <v>27</v>
      </c>
      <c r="E3" s="11">
        <v>493</v>
      </c>
      <c r="F3" s="11" t="s">
        <v>22</v>
      </c>
      <c r="G3" s="11" t="s">
        <v>28</v>
      </c>
      <c r="H3" s="12"/>
      <c r="I3" s="11" t="s">
        <v>29</v>
      </c>
      <c r="J3" s="11" t="s">
        <v>30</v>
      </c>
      <c r="K3" s="11" t="s">
        <v>31</v>
      </c>
    </row>
    <row r="4" spans="1:26" x14ac:dyDescent="0.2">
      <c r="A4" s="8" t="s">
        <v>32</v>
      </c>
      <c r="B4" s="8" t="s">
        <v>33</v>
      </c>
      <c r="C4" s="8" t="s">
        <v>21</v>
      </c>
      <c r="D4" s="9"/>
      <c r="E4" s="8">
        <v>163</v>
      </c>
      <c r="F4" s="8" t="s">
        <v>22</v>
      </c>
      <c r="G4" s="8" t="s">
        <v>34</v>
      </c>
      <c r="H4" s="9"/>
      <c r="I4" s="9"/>
      <c r="J4" s="9"/>
      <c r="K4" s="9"/>
    </row>
    <row r="5" spans="1:26" x14ac:dyDescent="0.2">
      <c r="A5" s="11" t="s">
        <v>35</v>
      </c>
      <c r="B5" s="11" t="s">
        <v>26</v>
      </c>
      <c r="C5" s="11" t="s">
        <v>21</v>
      </c>
      <c r="D5" s="11" t="s">
        <v>36</v>
      </c>
      <c r="E5" s="11">
        <v>440</v>
      </c>
      <c r="F5" s="11" t="s">
        <v>22</v>
      </c>
      <c r="G5" s="11" t="s">
        <v>28</v>
      </c>
      <c r="H5" s="12"/>
      <c r="I5" s="11" t="s">
        <v>29</v>
      </c>
      <c r="J5" s="11" t="s">
        <v>37</v>
      </c>
      <c r="K5" s="12" t="s">
        <v>141</v>
      </c>
    </row>
    <row r="6" spans="1:26" x14ac:dyDescent="0.2">
      <c r="A6" s="13" t="s">
        <v>38</v>
      </c>
      <c r="B6" s="8" t="s">
        <v>26</v>
      </c>
      <c r="C6" s="8" t="s">
        <v>21</v>
      </c>
      <c r="D6" s="13" t="s">
        <v>39</v>
      </c>
      <c r="E6" s="8">
        <v>533</v>
      </c>
      <c r="F6" s="8" t="s">
        <v>22</v>
      </c>
      <c r="G6" s="8" t="s">
        <v>28</v>
      </c>
      <c r="H6" s="9"/>
      <c r="I6" s="8" t="s">
        <v>40</v>
      </c>
      <c r="J6" s="8" t="s">
        <v>30</v>
      </c>
      <c r="K6" s="9"/>
    </row>
    <row r="7" spans="1:26" x14ac:dyDescent="0.2">
      <c r="A7" s="11" t="s">
        <v>41</v>
      </c>
      <c r="B7" s="11" t="s">
        <v>26</v>
      </c>
      <c r="C7" s="11" t="s">
        <v>21</v>
      </c>
      <c r="D7" s="11" t="s">
        <v>42</v>
      </c>
      <c r="E7" s="11">
        <v>400</v>
      </c>
      <c r="F7" s="11" t="s">
        <v>22</v>
      </c>
      <c r="G7" s="11" t="s">
        <v>28</v>
      </c>
      <c r="H7" s="14" t="s">
        <v>43</v>
      </c>
      <c r="I7" s="11" t="s">
        <v>44</v>
      </c>
      <c r="J7" s="11" t="s">
        <v>45</v>
      </c>
      <c r="K7" s="12"/>
    </row>
    <row r="8" spans="1:26" x14ac:dyDescent="0.2">
      <c r="A8" s="8" t="s">
        <v>46</v>
      </c>
      <c r="B8" s="8" t="s">
        <v>20</v>
      </c>
      <c r="C8" s="8" t="s">
        <v>21</v>
      </c>
      <c r="D8" s="8" t="s">
        <v>47</v>
      </c>
      <c r="E8" s="8">
        <v>1193</v>
      </c>
      <c r="F8" s="8" t="s">
        <v>22</v>
      </c>
      <c r="G8" s="8" t="s">
        <v>23</v>
      </c>
      <c r="H8" s="9"/>
      <c r="I8" s="9"/>
      <c r="J8" s="9"/>
      <c r="K8" s="9"/>
    </row>
    <row r="9" spans="1:26" x14ac:dyDescent="0.2">
      <c r="A9" s="11" t="s">
        <v>48</v>
      </c>
      <c r="B9" s="11" t="s">
        <v>20</v>
      </c>
      <c r="C9" s="11" t="s">
        <v>21</v>
      </c>
      <c r="D9" s="11" t="s">
        <v>49</v>
      </c>
      <c r="E9" s="11">
        <v>658</v>
      </c>
      <c r="F9" s="11" t="s">
        <v>22</v>
      </c>
      <c r="G9" s="11" t="s">
        <v>23</v>
      </c>
      <c r="H9" s="12"/>
      <c r="I9" s="12"/>
      <c r="J9" s="12"/>
      <c r="K9" s="12"/>
    </row>
    <row r="10" spans="1:26" x14ac:dyDescent="0.2">
      <c r="A10" s="8" t="s">
        <v>50</v>
      </c>
      <c r="B10" s="8" t="s">
        <v>20</v>
      </c>
      <c r="C10" s="8" t="s">
        <v>21</v>
      </c>
      <c r="D10" s="8" t="s">
        <v>51</v>
      </c>
      <c r="E10" s="8">
        <v>623</v>
      </c>
      <c r="F10" s="8" t="s">
        <v>22</v>
      </c>
      <c r="G10" s="8" t="s">
        <v>23</v>
      </c>
      <c r="H10" s="9"/>
      <c r="I10" s="9"/>
      <c r="J10" s="9"/>
      <c r="K10" s="9"/>
    </row>
    <row r="11" spans="1:26" x14ac:dyDescent="0.2">
      <c r="A11" s="11" t="s">
        <v>52</v>
      </c>
      <c r="B11" s="11" t="s">
        <v>20</v>
      </c>
      <c r="C11" s="11" t="s">
        <v>21</v>
      </c>
      <c r="D11" s="11" t="s">
        <v>53</v>
      </c>
      <c r="E11" s="11">
        <v>1558</v>
      </c>
      <c r="F11" s="11" t="s">
        <v>22</v>
      </c>
      <c r="G11" s="11" t="s">
        <v>23</v>
      </c>
      <c r="H11" s="12"/>
      <c r="I11" s="12"/>
      <c r="J11" s="12"/>
      <c r="K11" s="12"/>
    </row>
    <row r="12" spans="1:26" x14ac:dyDescent="0.2">
      <c r="A12" s="8" t="s">
        <v>54</v>
      </c>
      <c r="B12" s="8" t="s">
        <v>20</v>
      </c>
      <c r="C12" s="8" t="s">
        <v>21</v>
      </c>
      <c r="D12" s="8" t="s">
        <v>55</v>
      </c>
      <c r="E12" s="8">
        <v>610</v>
      </c>
      <c r="F12" s="8" t="s">
        <v>22</v>
      </c>
      <c r="G12" s="8" t="s">
        <v>23</v>
      </c>
      <c r="H12" s="9"/>
      <c r="I12" s="9"/>
      <c r="J12" s="9"/>
      <c r="K12" s="9"/>
    </row>
    <row r="13" spans="1:26" x14ac:dyDescent="0.2">
      <c r="A13" s="11" t="s">
        <v>56</v>
      </c>
      <c r="B13" s="11" t="s">
        <v>20</v>
      </c>
      <c r="C13" s="11" t="s">
        <v>21</v>
      </c>
      <c r="D13" s="11" t="s">
        <v>57</v>
      </c>
      <c r="E13" s="11">
        <v>611</v>
      </c>
      <c r="F13" s="11" t="s">
        <v>22</v>
      </c>
      <c r="G13" s="11" t="s">
        <v>23</v>
      </c>
      <c r="H13" s="12"/>
      <c r="I13" s="12"/>
      <c r="J13" s="12"/>
      <c r="K13" s="12"/>
    </row>
    <row r="14" spans="1:26" x14ac:dyDescent="0.2">
      <c r="A14" s="8" t="s">
        <v>58</v>
      </c>
      <c r="B14" s="8" t="s">
        <v>20</v>
      </c>
      <c r="C14" s="8" t="s">
        <v>21</v>
      </c>
      <c r="D14" s="8" t="s">
        <v>59</v>
      </c>
      <c r="E14" s="8">
        <v>356</v>
      </c>
      <c r="F14" s="8" t="s">
        <v>22</v>
      </c>
      <c r="G14" s="8" t="s">
        <v>23</v>
      </c>
      <c r="H14" s="9"/>
      <c r="I14" s="9"/>
      <c r="J14" s="9"/>
      <c r="K14" s="9"/>
    </row>
    <row r="15" spans="1:26" x14ac:dyDescent="0.2">
      <c r="A15" s="11" t="s">
        <v>60</v>
      </c>
      <c r="B15" s="11" t="s">
        <v>20</v>
      </c>
      <c r="C15" s="11" t="s">
        <v>21</v>
      </c>
      <c r="D15" s="12"/>
      <c r="E15" s="11">
        <v>1321</v>
      </c>
      <c r="F15" s="11" t="s">
        <v>22</v>
      </c>
      <c r="G15" s="11" t="s">
        <v>23</v>
      </c>
      <c r="H15" s="12"/>
      <c r="I15" s="12"/>
      <c r="J15" s="12"/>
      <c r="K15" s="12"/>
    </row>
    <row r="16" spans="1:26" x14ac:dyDescent="0.2">
      <c r="A16" s="8" t="s">
        <v>61</v>
      </c>
      <c r="B16" s="8" t="s">
        <v>26</v>
      </c>
      <c r="C16" s="8" t="s">
        <v>21</v>
      </c>
      <c r="D16" s="8" t="s">
        <v>62</v>
      </c>
      <c r="E16" s="8">
        <v>280</v>
      </c>
      <c r="F16" s="8" t="s">
        <v>22</v>
      </c>
      <c r="G16" s="8" t="s">
        <v>28</v>
      </c>
      <c r="H16" s="9"/>
      <c r="I16" s="8" t="s">
        <v>63</v>
      </c>
      <c r="J16" s="8" t="s">
        <v>37</v>
      </c>
      <c r="K16" s="9"/>
    </row>
    <row r="17" spans="1:11" x14ac:dyDescent="0.2">
      <c r="A17" s="11" t="s">
        <v>64</v>
      </c>
      <c r="B17" s="11" t="s">
        <v>20</v>
      </c>
      <c r="C17" s="11" t="s">
        <v>21</v>
      </c>
      <c r="D17" s="11" t="s">
        <v>65</v>
      </c>
      <c r="E17" s="11">
        <v>1360</v>
      </c>
      <c r="F17" s="11" t="s">
        <v>22</v>
      </c>
      <c r="G17" s="11" t="s">
        <v>23</v>
      </c>
      <c r="H17" s="12"/>
      <c r="I17" s="12"/>
      <c r="J17" s="12"/>
      <c r="K17" s="12"/>
    </row>
    <row r="18" spans="1:11" x14ac:dyDescent="0.2">
      <c r="A18" s="8" t="s">
        <v>66</v>
      </c>
      <c r="B18" s="8" t="s">
        <v>20</v>
      </c>
      <c r="C18" s="8" t="s">
        <v>21</v>
      </c>
      <c r="D18" s="9"/>
      <c r="E18" s="8">
        <v>1108</v>
      </c>
      <c r="F18" s="8" t="s">
        <v>22</v>
      </c>
      <c r="G18" s="8" t="s">
        <v>23</v>
      </c>
      <c r="H18" s="9"/>
      <c r="I18" s="9"/>
      <c r="J18" s="9"/>
      <c r="K18" s="9"/>
    </row>
    <row r="19" spans="1:11" x14ac:dyDescent="0.2">
      <c r="A19" s="11" t="s">
        <v>67</v>
      </c>
      <c r="B19" s="11" t="s">
        <v>20</v>
      </c>
      <c r="C19" s="11" t="s">
        <v>21</v>
      </c>
      <c r="D19" s="12"/>
      <c r="E19" s="11">
        <v>1185</v>
      </c>
      <c r="F19" s="11" t="s">
        <v>22</v>
      </c>
      <c r="G19" s="11" t="s">
        <v>23</v>
      </c>
      <c r="H19" s="12"/>
      <c r="I19" s="12"/>
      <c r="J19" s="12"/>
      <c r="K19" s="12"/>
    </row>
    <row r="20" spans="1:11" x14ac:dyDescent="0.2">
      <c r="A20" s="8" t="s">
        <v>68</v>
      </c>
      <c r="B20" s="8" t="s">
        <v>20</v>
      </c>
      <c r="C20" s="8" t="s">
        <v>21</v>
      </c>
      <c r="D20" s="9"/>
      <c r="E20" s="8">
        <v>423</v>
      </c>
      <c r="F20" s="8" t="s">
        <v>22</v>
      </c>
      <c r="G20" s="8" t="s">
        <v>23</v>
      </c>
      <c r="H20" s="9"/>
      <c r="I20" s="9"/>
      <c r="J20" s="9"/>
      <c r="K20" s="9"/>
    </row>
    <row r="21" spans="1:11" x14ac:dyDescent="0.2">
      <c r="A21" s="11" t="s">
        <v>146</v>
      </c>
      <c r="B21" s="11" t="s">
        <v>20</v>
      </c>
      <c r="C21" s="11" t="s">
        <v>21</v>
      </c>
      <c r="E21" s="11">
        <v>839</v>
      </c>
      <c r="F21" s="8" t="s">
        <v>22</v>
      </c>
      <c r="G21" s="8" t="s">
        <v>23</v>
      </c>
      <c r="K21" t="s">
        <v>147</v>
      </c>
    </row>
  </sheetData>
  <hyperlinks>
    <hyperlink ref="H7" r:id="rId1" xr:uid="{4FBEA397-29CC-EF4B-985F-F8C72C5EB1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BOM Maapilim</vt:lpstr>
      <vt:lpstr>Oil bottles</vt:lpstr>
      <vt:lpstr>Pomade packs</vt:lpstr>
      <vt:lpstr>Seals</vt:lpstr>
      <vt:lpstr>Combs</vt:lpstr>
      <vt:lpstr>Sticker per pack</vt:lpstr>
      <vt:lpstr>Shifon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Yifat Ryce</dc:creator>
  <cp:lastModifiedBy>Yifat Ryce</cp:lastModifiedBy>
  <dcterms:created xsi:type="dcterms:W3CDTF">2018-11-11T12:29:07Z</dcterms:created>
  <dcterms:modified xsi:type="dcterms:W3CDTF">2019-01-01T08:23:10Z</dcterms:modified>
</cp:coreProperties>
</file>