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160" windowWidth="25360" windowHeight="15300" tabRatio="500" activeTab="2"/>
  </bookViews>
  <sheets>
    <sheet name="HR and Stage" sheetId="1" r:id="rId1"/>
    <sheet name="SEER Survival" sheetId="2" r:id="rId2"/>
    <sheet name="Mammography Trial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2" l="1"/>
  <c r="H19" i="3"/>
  <c r="G19" i="3"/>
  <c r="L10" i="3"/>
  <c r="L11" i="3"/>
  <c r="L12" i="3"/>
  <c r="L13" i="3"/>
  <c r="G9" i="3"/>
  <c r="I9" i="3"/>
  <c r="L9" i="3"/>
  <c r="I11" i="3"/>
  <c r="G11" i="3"/>
  <c r="O11" i="3"/>
  <c r="I10" i="3"/>
  <c r="G10" i="3"/>
  <c r="O13" i="3"/>
  <c r="I13" i="3"/>
  <c r="G13" i="3"/>
  <c r="E16" i="2"/>
  <c r="F16" i="2"/>
  <c r="P4" i="2"/>
  <c r="E17" i="2"/>
  <c r="E18" i="2"/>
  <c r="E19" i="2"/>
  <c r="G16" i="2"/>
  <c r="Q4" i="2"/>
  <c r="B19" i="2"/>
  <c r="B18" i="2"/>
  <c r="B17" i="2"/>
  <c r="B16" i="2"/>
  <c r="C47" i="1"/>
  <c r="G43" i="1"/>
  <c r="G44" i="1"/>
  <c r="G45" i="1"/>
  <c r="F43" i="1"/>
  <c r="F44" i="1"/>
  <c r="F45" i="1"/>
  <c r="G42" i="1"/>
  <c r="F42" i="1"/>
  <c r="G39" i="1"/>
  <c r="I39" i="1"/>
  <c r="G38" i="1"/>
  <c r="F39" i="1"/>
  <c r="F38" i="1"/>
  <c r="E32" i="1"/>
  <c r="E31" i="1"/>
  <c r="B26" i="1"/>
  <c r="B25" i="1"/>
  <c r="E25" i="1"/>
  <c r="B24" i="1"/>
  <c r="E24" i="1"/>
  <c r="B23" i="1"/>
  <c r="E23" i="1"/>
  <c r="E8" i="1"/>
  <c r="E25" i="2"/>
  <c r="E9" i="1"/>
  <c r="E26" i="2"/>
  <c r="C8" i="1"/>
  <c r="C9" i="1"/>
  <c r="C7" i="1"/>
  <c r="D7" i="1"/>
  <c r="H44" i="1"/>
  <c r="D8" i="1"/>
  <c r="D15" i="1"/>
  <c r="D14" i="1"/>
  <c r="E12" i="2"/>
  <c r="F12" i="2"/>
  <c r="E13" i="2"/>
  <c r="E14" i="2"/>
  <c r="E15" i="2"/>
  <c r="E8" i="2"/>
  <c r="E9" i="2"/>
  <c r="E10" i="2"/>
  <c r="E11" i="2"/>
  <c r="G8" i="2"/>
  <c r="E7" i="2"/>
  <c r="K5" i="2"/>
  <c r="K6" i="2"/>
  <c r="K7" i="2"/>
  <c r="K4" i="2"/>
  <c r="E6" i="2"/>
  <c r="J5" i="2"/>
  <c r="J6" i="2"/>
  <c r="E5" i="2"/>
  <c r="I5" i="2"/>
  <c r="I6" i="2"/>
  <c r="I4" i="2"/>
  <c r="E4" i="2"/>
  <c r="F4" i="2"/>
  <c r="P14" i="2"/>
  <c r="H5" i="2"/>
  <c r="H6" i="2"/>
  <c r="H4" i="2"/>
  <c r="B15" i="2"/>
  <c r="B14" i="2"/>
  <c r="B13" i="2"/>
  <c r="B12" i="2"/>
  <c r="B5" i="2"/>
  <c r="B6" i="2"/>
  <c r="B7" i="2"/>
  <c r="B8" i="2"/>
  <c r="B9" i="2"/>
  <c r="B10" i="2"/>
  <c r="B11" i="2"/>
  <c r="B4" i="2"/>
  <c r="B30" i="1"/>
  <c r="E30" i="1"/>
  <c r="F30" i="1"/>
  <c r="B29" i="1"/>
  <c r="D32" i="1"/>
  <c r="D25" i="1"/>
  <c r="D23" i="1"/>
  <c r="D29" i="1"/>
  <c r="E29" i="1"/>
  <c r="F29" i="1"/>
  <c r="G4" i="2"/>
  <c r="L6" i="2"/>
  <c r="H7" i="2"/>
  <c r="J7" i="2"/>
  <c r="D30" i="1"/>
  <c r="L7" i="2"/>
  <c r="M18" i="2"/>
  <c r="M16" i="2"/>
  <c r="M17" i="2"/>
  <c r="M19" i="2"/>
  <c r="M6" i="2"/>
  <c r="M4" i="2"/>
  <c r="M5" i="2"/>
  <c r="M7" i="2"/>
  <c r="H39" i="1"/>
  <c r="H45" i="1"/>
  <c r="H43" i="1"/>
  <c r="I45" i="1"/>
  <c r="I43" i="1"/>
  <c r="L17" i="2"/>
  <c r="L19" i="2"/>
  <c r="F8" i="2"/>
  <c r="F25" i="2"/>
  <c r="F24" i="1"/>
  <c r="F31" i="1"/>
  <c r="F23" i="1"/>
  <c r="D26" i="1"/>
  <c r="D24" i="1"/>
  <c r="I7" i="2"/>
  <c r="J4" i="2"/>
  <c r="F32" i="1"/>
  <c r="H38" i="1"/>
  <c r="I38" i="1"/>
  <c r="H42" i="1"/>
  <c r="I42" i="1"/>
  <c r="L16" i="2"/>
  <c r="L10" i="2"/>
  <c r="L9" i="2"/>
  <c r="L8" i="2"/>
  <c r="L11" i="2"/>
  <c r="P9" i="2"/>
  <c r="P16" i="2"/>
  <c r="P5" i="2"/>
  <c r="P11" i="2"/>
  <c r="P18" i="2"/>
  <c r="F25" i="1"/>
  <c r="E26" i="1"/>
  <c r="F26" i="1"/>
  <c r="L5" i="2"/>
  <c r="L4" i="2"/>
  <c r="D31" i="1"/>
  <c r="G12" i="2"/>
  <c r="I44" i="1"/>
  <c r="L18" i="2"/>
  <c r="L13" i="2"/>
  <c r="L12" i="2"/>
  <c r="L14" i="2"/>
  <c r="L15" i="2"/>
  <c r="G25" i="2"/>
  <c r="Q5" i="2"/>
</calcChain>
</file>

<file path=xl/sharedStrings.xml><?xml version="1.0" encoding="utf-8"?>
<sst xmlns="http://schemas.openxmlformats.org/spreadsheetml/2006/main" count="165" uniqueCount="129">
  <si>
    <t>ER+ S1</t>
  </si>
  <si>
    <t>ER- S1</t>
  </si>
  <si>
    <t>ER+ S2-4</t>
  </si>
  <si>
    <t>ER- S2-4</t>
  </si>
  <si>
    <t>ER+ I/II-</t>
  </si>
  <si>
    <t>ER- I/II-</t>
  </si>
  <si>
    <t>ER+ II+/IIIA</t>
  </si>
  <si>
    <t>ER- II+/IIIA</t>
  </si>
  <si>
    <t>Howlader 2014</t>
  </si>
  <si>
    <t>Mariotto 2005 (Table 2, ages 50-59)</t>
  </si>
  <si>
    <t>See Dropbox/…Dissertation/Mammography and Treatment/Parameters and Literature.docx for references</t>
  </si>
  <si>
    <t>Year post-diagnosis</t>
  </si>
  <si>
    <t>Survival</t>
  </si>
  <si>
    <t>Local</t>
  </si>
  <si>
    <t>Regional</t>
  </si>
  <si>
    <t>Implied Exponential Rate</t>
  </si>
  <si>
    <t>Months post-diagnosis</t>
  </si>
  <si>
    <t>Exponential Survival</t>
  </si>
  <si>
    <t>Rate_5</t>
  </si>
  <si>
    <t>Rate_10</t>
  </si>
  <si>
    <t>Rate_15</t>
  </si>
  <si>
    <t>Rate_20</t>
  </si>
  <si>
    <t>Distant</t>
  </si>
  <si>
    <t>See Z:/screentreat/data/bc_1975-1979_survival.ssm</t>
  </si>
  <si>
    <t>S(t) = exp(-lambda*t)</t>
  </si>
  <si>
    <t>Rate_Average</t>
  </si>
  <si>
    <t>Receptors by Stage</t>
  </si>
  <si>
    <t>Historic Stage Distributions</t>
  </si>
  <si>
    <t>See Z:/screentreat/data/bc_1975-1979_stagefreq* files</t>
  </si>
  <si>
    <t>Localized</t>
  </si>
  <si>
    <t>Count</t>
  </si>
  <si>
    <t>Proportion</t>
  </si>
  <si>
    <t>SEER Historic Stage 1975-1979 among 50-75 year-olds</t>
  </si>
  <si>
    <t>SEER Historic AJCC 1975-1979 among 50-84 year-olds from Cronin Supplemental Table 2</t>
  </si>
  <si>
    <t>Stage I + 2-nonodes</t>
  </si>
  <si>
    <t>Stages 2-nodes, 3+4</t>
  </si>
  <si>
    <t>Prop (Local vs Reg/Dist)</t>
  </si>
  <si>
    <t>Prop (Reg vs Dist)</t>
  </si>
  <si>
    <t>Prop</t>
  </si>
  <si>
    <t>Regional/Distant Avg Survival, weighted by Reg/Dist frequences</t>
  </si>
  <si>
    <t>Regional/Dist Props</t>
  </si>
  <si>
    <t>Among total pop</t>
  </si>
  <si>
    <t>Among total</t>
  </si>
  <si>
    <t>Conditional on stage</t>
  </si>
  <si>
    <t>Weighted by historic LRD stage distribution</t>
  </si>
  <si>
    <t>ER_Status</t>
  </si>
  <si>
    <t>HER2_Status</t>
  </si>
  <si>
    <t>Early</t>
  </si>
  <si>
    <t>Advanced</t>
  </si>
  <si>
    <t>Negative/Borderline</t>
  </si>
  <si>
    <t>NA</t>
  </si>
  <si>
    <t>Positive</t>
  </si>
  <si>
    <t>ER ONLY:</t>
  </si>
  <si>
    <t xml:space="preserve">ER + HER2: </t>
  </si>
  <si>
    <t>COUNTS</t>
  </si>
  <si>
    <t>PROPS CONDITIONAL ON STAGE</t>
  </si>
  <si>
    <t>WEIGHTED BY HISTORIC STAGE DIST</t>
  </si>
  <si>
    <t xml:space="preserve">Early </t>
  </si>
  <si>
    <t>SEER 2010, my analysis, ages 50-75 only</t>
  </si>
  <si>
    <t>Total HER2 +</t>
  </si>
  <si>
    <t>Reg+Dist</t>
  </si>
  <si>
    <t>(combined var)</t>
  </si>
  <si>
    <t>Average, all</t>
  </si>
  <si>
    <t>Average, 5 &amp; 10</t>
  </si>
  <si>
    <t>Survival using average, all</t>
  </si>
  <si>
    <t>Survival, using average, 5 &amp; 10</t>
  </si>
  <si>
    <t>Ratio of early/advanced</t>
  </si>
  <si>
    <t>Ratio of advanced/early</t>
  </si>
  <si>
    <t>Weighted</t>
  </si>
  <si>
    <t>Avg, 5 &amp; 10</t>
  </si>
  <si>
    <t>Avg, all</t>
  </si>
  <si>
    <t>Abs difference, avg 5&amp;10 and weighted</t>
  </si>
  <si>
    <t>Ratio of early/advanced, avg 5&amp;10 and weighted</t>
  </si>
  <si>
    <t>Trial</t>
  </si>
  <si>
    <t>Control Arm</t>
  </si>
  <si>
    <t>Advanced BC</t>
  </si>
  <si>
    <t>BC Mortality</t>
  </si>
  <si>
    <t>Follow-Up</t>
  </si>
  <si>
    <t>Screening Arm</t>
  </si>
  <si>
    <t>RR of Screening</t>
  </si>
  <si>
    <t>Control Arm Mortality Rates</t>
  </si>
  <si>
    <t>Early Stage</t>
  </si>
  <si>
    <t>Advanced Stage</t>
  </si>
  <si>
    <t>References</t>
  </si>
  <si>
    <t>(a)</t>
  </si>
  <si>
    <t>Autier 2009 "Advanced"</t>
  </si>
  <si>
    <t>(b)</t>
  </si>
  <si>
    <t>Nystrom 2002 "Long-term effects"</t>
  </si>
  <si>
    <t>Greater New York Health Insurance Plan (HIP), United States</t>
  </si>
  <si>
    <t>Two-County Trial (TCT), Sweden</t>
  </si>
  <si>
    <t>Malmo Mammography Screening Trial (MMST), Sweden</t>
  </si>
  <si>
    <t>Stockholm trial, Sweden</t>
  </si>
  <si>
    <t>Goteborg trial, Sweden</t>
  </si>
  <si>
    <t>National Breast Screening Study-1 (NBSS-1), Canada</t>
  </si>
  <si>
    <t>National Breast Screening Study-2 (NBSS-2), Canada</t>
  </si>
  <si>
    <t>Trial on women 40 years old at entry, United Kingdom</t>
  </si>
  <si>
    <t>Ref in (a)</t>
  </si>
  <si>
    <t>Cumulative Incidence per 1000</t>
  </si>
  <si>
    <t>Ages</t>
  </si>
  <si>
    <t>All</t>
  </si>
  <si>
    <t>40-64</t>
  </si>
  <si>
    <t>40-74</t>
  </si>
  <si>
    <t>45-70</t>
  </si>
  <si>
    <t>39-65</t>
  </si>
  <si>
    <t>39-59</t>
  </si>
  <si>
    <t>39-41</t>
  </si>
  <si>
    <t>40-49</t>
  </si>
  <si>
    <t>50-59</t>
  </si>
  <si>
    <t>Notes</t>
  </si>
  <si>
    <t>Cuminc is my calculation, NOT their "density" by person-years calculation</t>
  </si>
  <si>
    <t>Swedish Trials minus Kopparbarg, so 5 trials</t>
  </si>
  <si>
    <t>38-75</t>
  </si>
  <si>
    <t>Ref</t>
  </si>
  <si>
    <t>Ostergartland: BC mort ~50-100 per 100K (b, Fig 1)</t>
  </si>
  <si>
    <t>~15 years</t>
  </si>
  <si>
    <t>Moss 2006 "Effect of mammographic"</t>
  </si>
  <si>
    <t>( c)</t>
  </si>
  <si>
    <t>(d)</t>
  </si>
  <si>
    <t>Miller 2002 "The Canadian"</t>
  </si>
  <si>
    <t>Cuminc is per person-years, their Table 2</t>
  </si>
  <si>
    <t>(e)</t>
  </si>
  <si>
    <t>Bjurstam 2003 "The Gothenberg"</t>
  </si>
  <si>
    <t>Cuminc from Table 1</t>
  </si>
  <si>
    <t>Halve the early rate:</t>
  </si>
  <si>
    <t>New abs diff:</t>
  </si>
  <si>
    <t>New relative diff:</t>
  </si>
  <si>
    <t>See Z:/screentreat/code/input_prep.R and Z:/screentreat/data/bc_2010_receptorfreq_summaryHistStage.csv</t>
  </si>
  <si>
    <t>ARR per 1000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</si>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</sst>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sz val="12"/>
      <color theme="9" tint="-0.249977111117893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1" applyFont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/>
    <xf numFmtId="165" fontId="0" fillId="0" borderId="0" xfId="0" applyNumberFormat="1"/>
    <xf numFmtId="0" fontId="7" fillId="0" borderId="0" xfId="0" applyFont="1"/>
    <xf numFmtId="0" fontId="8" fillId="0" borderId="0" xfId="0" applyFont="1"/>
    <xf numFmtId="165" fontId="5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0" xfId="0" applyNumberFormat="1" applyBorder="1"/>
    <xf numFmtId="165" fontId="0" fillId="0" borderId="3" xfId="0" applyNumberFormat="1" applyBorder="1"/>
    <xf numFmtId="0" fontId="0" fillId="0" borderId="0" xfId="0" applyBorder="1"/>
    <xf numFmtId="164" fontId="9" fillId="0" borderId="0" xfId="0" applyNumberFormat="1" applyFont="1"/>
    <xf numFmtId="164" fontId="9" fillId="0" borderId="0" xfId="0" applyNumberFormat="1" applyFont="1" applyFill="1" applyBorder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opLeftCell="A20" workbookViewId="0">
      <selection activeCell="F35" sqref="F35"/>
    </sheetView>
  </sheetViews>
  <sheetFormatPr baseColWidth="10" defaultColWidth="11" defaultRowHeight="15" x14ac:dyDescent="0"/>
  <cols>
    <col min="1" max="1" width="18.83203125" customWidth="1"/>
    <col min="2" max="2" width="14.1640625" customWidth="1"/>
    <col min="3" max="3" width="12.33203125" customWidth="1"/>
    <col min="4" max="4" width="18.83203125" customWidth="1"/>
    <col min="5" max="5" width="20.5" customWidth="1"/>
    <col min="6" max="6" width="16.1640625" customWidth="1"/>
    <col min="7" max="7" width="14.1640625" customWidth="1"/>
    <col min="8" max="8" width="17.5" customWidth="1"/>
    <col min="9" max="9" width="17" customWidth="1"/>
  </cols>
  <sheetData>
    <row r="2" spans="1:5">
      <c r="A2" s="4" t="s">
        <v>27</v>
      </c>
    </row>
    <row r="3" spans="1:5">
      <c r="A3" s="5" t="s">
        <v>28</v>
      </c>
    </row>
    <row r="4" spans="1:5">
      <c r="A4" s="5"/>
    </row>
    <row r="5" spans="1:5">
      <c r="A5" s="2" t="s">
        <v>32</v>
      </c>
    </row>
    <row r="6" spans="1:5">
      <c r="B6" t="s">
        <v>30</v>
      </c>
      <c r="C6" t="s">
        <v>38</v>
      </c>
      <c r="D6" t="s">
        <v>36</v>
      </c>
      <c r="E6" t="s">
        <v>37</v>
      </c>
    </row>
    <row r="7" spans="1:5">
      <c r="A7" s="6" t="s">
        <v>29</v>
      </c>
      <c r="B7">
        <v>13385</v>
      </c>
      <c r="C7" s="7">
        <f>B7/SUM(B$7:B$9)</f>
        <v>0.49614500704277559</v>
      </c>
      <c r="D7" s="7">
        <f>B7/SUM(B$7:B$9)</f>
        <v>0.49614500704277559</v>
      </c>
    </row>
    <row r="8" spans="1:5">
      <c r="A8" t="s">
        <v>14</v>
      </c>
      <c r="B8">
        <v>11272</v>
      </c>
      <c r="C8" s="7">
        <f t="shared" ref="C8:C9" si="0">B8/SUM(B$7:B$9)</f>
        <v>0.4178219289791682</v>
      </c>
      <c r="D8" s="7">
        <f>SUM(B8:B9)/SUM(B$7:B$9)</f>
        <v>0.50385499295722436</v>
      </c>
      <c r="E8" s="7">
        <f>B8/SUM(B8:B9)</f>
        <v>0.8292503494445671</v>
      </c>
    </row>
    <row r="9" spans="1:5">
      <c r="A9" t="s">
        <v>22</v>
      </c>
      <c r="B9">
        <v>2321</v>
      </c>
      <c r="C9" s="7">
        <f t="shared" si="0"/>
        <v>8.6033063978056198E-2</v>
      </c>
      <c r="D9" s="7"/>
      <c r="E9" s="7">
        <f>B9/SUM(B8:B9)</f>
        <v>0.17074965055543295</v>
      </c>
    </row>
    <row r="10" spans="1:5">
      <c r="D10" s="7"/>
    </row>
    <row r="12" spans="1:5">
      <c r="A12" s="2" t="s">
        <v>33</v>
      </c>
    </row>
    <row r="13" spans="1:5">
      <c r="B13" t="s">
        <v>30</v>
      </c>
      <c r="D13" t="s">
        <v>31</v>
      </c>
    </row>
    <row r="14" spans="1:5">
      <c r="A14" t="s">
        <v>34</v>
      </c>
      <c r="B14">
        <v>16296</v>
      </c>
      <c r="D14" s="7">
        <f>B14/SUM(B$14:B$15)</f>
        <v>0.53819478846725455</v>
      </c>
    </row>
    <row r="15" spans="1:5">
      <c r="A15" t="s">
        <v>35</v>
      </c>
      <c r="B15">
        <v>13983</v>
      </c>
      <c r="D15" s="7">
        <f>B15/SUM(B$14:B$15)</f>
        <v>0.46180521153274545</v>
      </c>
    </row>
    <row r="20" spans="1:6">
      <c r="A20" s="4" t="s">
        <v>26</v>
      </c>
    </row>
    <row r="21" spans="1:6">
      <c r="A21" t="s">
        <v>10</v>
      </c>
    </row>
    <row r="22" spans="1:6">
      <c r="A22" s="2" t="s">
        <v>8</v>
      </c>
      <c r="D22" t="s">
        <v>41</v>
      </c>
      <c r="E22" t="s">
        <v>43</v>
      </c>
      <c r="F22" t="s">
        <v>44</v>
      </c>
    </row>
    <row r="23" spans="1:6">
      <c r="A23" t="s">
        <v>0</v>
      </c>
      <c r="B23">
        <f>19811+2115</f>
        <v>21926</v>
      </c>
      <c r="D23" s="1">
        <f>B23/SUM($B$23:$B$26)</f>
        <v>0.44498112594877626</v>
      </c>
      <c r="E23" s="1">
        <f>B23/SUM(B23:B24)</f>
        <v>0.87989084634214854</v>
      </c>
      <c r="F23" s="1">
        <f>D7*E23</f>
        <v>0.43655345015529906</v>
      </c>
    </row>
    <row r="24" spans="1:6">
      <c r="A24" t="s">
        <v>1</v>
      </c>
      <c r="B24">
        <f>2214+779</f>
        <v>2993</v>
      </c>
      <c r="D24" s="1">
        <f>B24/SUM($B$23:$B$26)</f>
        <v>6.0741973454560214E-2</v>
      </c>
      <c r="E24" s="1">
        <f>B24/SUM(B23:B24)</f>
        <v>0.12010915365785144</v>
      </c>
      <c r="F24" s="1">
        <f>D7*E24</f>
        <v>5.9591556887476513E-2</v>
      </c>
    </row>
    <row r="25" spans="1:6">
      <c r="A25" t="s">
        <v>2</v>
      </c>
      <c r="B25">
        <f>10873+3705+1532+1783+803+370</f>
        <v>19066</v>
      </c>
      <c r="D25" s="1">
        <f>B25/SUM($B$23:$B$26)</f>
        <v>0.38693834476600236</v>
      </c>
      <c r="E25" s="1">
        <f>B25/SUM(B25:B26)</f>
        <v>0.78283719975364396</v>
      </c>
      <c r="F25" s="1">
        <f>D8*E25</f>
        <v>0.3944364317685255</v>
      </c>
    </row>
    <row r="26" spans="1:6">
      <c r="A26" t="s">
        <v>3</v>
      </c>
      <c r="B26">
        <f>2488+958+379+776+465+223</f>
        <v>5289</v>
      </c>
      <c r="D26" s="1">
        <f>B26/SUM($B$23:$B$26)</f>
        <v>0.10733855583066119</v>
      </c>
      <c r="E26" s="1">
        <f>B26/SUM(B25:B26)</f>
        <v>0.21716280024635598</v>
      </c>
      <c r="F26" s="1">
        <f>D8*E26</f>
        <v>0.10941856118869882</v>
      </c>
    </row>
    <row r="28" spans="1:6">
      <c r="A28" s="2" t="s">
        <v>9</v>
      </c>
      <c r="D28" t="s">
        <v>42</v>
      </c>
      <c r="E28" t="s">
        <v>43</v>
      </c>
    </row>
    <row r="29" spans="1:6">
      <c r="A29" t="s">
        <v>4</v>
      </c>
      <c r="B29">
        <f>83+33</f>
        <v>116</v>
      </c>
      <c r="D29" s="1">
        <f>B29/SUM(B$29:B$32)</f>
        <v>0.43445692883895132</v>
      </c>
      <c r="E29" s="1">
        <f>B29/SUM(B29:B30)</f>
        <v>0.72049689440993792</v>
      </c>
      <c r="F29" s="1">
        <f>D7*E29</f>
        <v>0.35747093675131658</v>
      </c>
    </row>
    <row r="30" spans="1:6">
      <c r="A30" t="s">
        <v>5</v>
      </c>
      <c r="B30">
        <f>33+12</f>
        <v>45</v>
      </c>
      <c r="D30" s="1">
        <f t="shared" ref="D30:D32" si="1">B30/SUM(B$29:B$32)</f>
        <v>0.16853932584269662</v>
      </c>
      <c r="E30" s="1">
        <f>B30/SUM(B29:B30)</f>
        <v>0.27950310559006208</v>
      </c>
      <c r="F30" s="1">
        <f>D7*E30</f>
        <v>0.13867407029145901</v>
      </c>
    </row>
    <row r="31" spans="1:6">
      <c r="A31" t="s">
        <v>6</v>
      </c>
      <c r="B31">
        <v>82</v>
      </c>
      <c r="D31" s="1">
        <f t="shared" si="1"/>
        <v>0.30711610486891383</v>
      </c>
      <c r="E31" s="1">
        <f>B31/SUM(B31:B32)</f>
        <v>0.77358490566037741</v>
      </c>
      <c r="F31" s="1">
        <f>D8*E31</f>
        <v>0.38977461719332451</v>
      </c>
    </row>
    <row r="32" spans="1:6">
      <c r="A32" t="s">
        <v>7</v>
      </c>
      <c r="B32">
        <v>24</v>
      </c>
      <c r="D32" s="1">
        <f t="shared" si="1"/>
        <v>8.98876404494382E-2</v>
      </c>
      <c r="E32" s="1">
        <f>B32/SUM(B31:B32)</f>
        <v>0.22641509433962265</v>
      </c>
      <c r="F32" s="1">
        <f>D8*E32</f>
        <v>0.11408037576389986</v>
      </c>
    </row>
    <row r="34" spans="1:9">
      <c r="A34" s="2" t="s">
        <v>58</v>
      </c>
    </row>
    <row r="35" spans="1:9">
      <c r="A35" t="s">
        <v>126</v>
      </c>
    </row>
    <row r="36" spans="1:9">
      <c r="B36" s="9"/>
      <c r="D36" s="30" t="s">
        <v>54</v>
      </c>
      <c r="E36" s="30"/>
      <c r="F36" s="30" t="s">
        <v>55</v>
      </c>
      <c r="G36" s="30"/>
      <c r="H36" s="30" t="s">
        <v>56</v>
      </c>
      <c r="I36" s="30"/>
    </row>
    <row r="37" spans="1:9">
      <c r="A37" t="s">
        <v>52</v>
      </c>
      <c r="B37" s="2" t="s">
        <v>45</v>
      </c>
      <c r="C37" s="2" t="s">
        <v>46</v>
      </c>
      <c r="D37" t="s">
        <v>47</v>
      </c>
      <c r="E37" t="s">
        <v>48</v>
      </c>
      <c r="F37" t="s">
        <v>47</v>
      </c>
      <c r="G37" t="s">
        <v>48</v>
      </c>
      <c r="H37" t="s">
        <v>57</v>
      </c>
      <c r="I37" t="s">
        <v>48</v>
      </c>
    </row>
    <row r="38" spans="1:9">
      <c r="B38" t="s">
        <v>49</v>
      </c>
      <c r="C38" t="s">
        <v>50</v>
      </c>
      <c r="D38">
        <v>7031</v>
      </c>
      <c r="E38">
        <v>4677</v>
      </c>
      <c r="F38">
        <f>D38/SUM(D38:D39)</f>
        <v>0.15867391844011644</v>
      </c>
      <c r="G38">
        <f>E38/SUM(E38:E39)</f>
        <v>0.20407539924949822</v>
      </c>
      <c r="H38" s="1">
        <f>$D$7*F38</f>
        <v>7.8725272381976366E-2</v>
      </c>
      <c r="I38" s="1">
        <f>$D$8*G38</f>
        <v>0.10282440885159867</v>
      </c>
    </row>
    <row r="39" spans="1:9">
      <c r="B39" t="s">
        <v>51</v>
      </c>
      <c r="C39" t="s">
        <v>50</v>
      </c>
      <c r="D39">
        <v>37280</v>
      </c>
      <c r="E39">
        <v>18241</v>
      </c>
      <c r="F39">
        <f>D39/SUM(D38:D39)</f>
        <v>0.84132608155988353</v>
      </c>
      <c r="G39">
        <f>E39/SUM(E38:E39)</f>
        <v>0.79592460075050175</v>
      </c>
      <c r="H39" s="1">
        <f>$D$7*F39</f>
        <v>0.41741973466079918</v>
      </c>
      <c r="I39" s="1">
        <f>$D$8*G39</f>
        <v>0.40103058410562564</v>
      </c>
    </row>
    <row r="40" spans="1:9">
      <c r="B40" s="9"/>
      <c r="D40" s="30" t="s">
        <v>54</v>
      </c>
      <c r="E40" s="30"/>
      <c r="F40" s="30" t="s">
        <v>55</v>
      </c>
      <c r="G40" s="30"/>
      <c r="H40" s="30" t="s">
        <v>56</v>
      </c>
      <c r="I40" s="30"/>
    </row>
    <row r="41" spans="1:9">
      <c r="A41" t="s">
        <v>53</v>
      </c>
      <c r="B41" s="2" t="s">
        <v>45</v>
      </c>
      <c r="C41" s="2" t="s">
        <v>46</v>
      </c>
      <c r="D41" t="s">
        <v>47</v>
      </c>
      <c r="E41" t="s">
        <v>48</v>
      </c>
      <c r="F41" t="s">
        <v>47</v>
      </c>
      <c r="G41" t="s">
        <v>48</v>
      </c>
      <c r="H41" s="1" t="s">
        <v>47</v>
      </c>
      <c r="I41" s="1" t="s">
        <v>48</v>
      </c>
    </row>
    <row r="42" spans="1:9">
      <c r="B42" t="s">
        <v>49</v>
      </c>
      <c r="C42" t="s">
        <v>49</v>
      </c>
      <c r="D42">
        <v>5085</v>
      </c>
      <c r="E42">
        <v>3072</v>
      </c>
      <c r="F42">
        <f>D42/SUM(D$42:D$45)</f>
        <v>0.11915362264504639</v>
      </c>
      <c r="G42">
        <f>E42/SUM(E$42:E$45)</f>
        <v>0.13745581457783346</v>
      </c>
      <c r="H42" s="1">
        <f>$D$7*F42</f>
        <v>5.9117474946398768E-2</v>
      </c>
      <c r="I42" s="1">
        <f>$D$8*G42</f>
        <v>6.9257798486043812E-2</v>
      </c>
    </row>
    <row r="43" spans="1:9">
      <c r="B43" t="s">
        <v>51</v>
      </c>
      <c r="C43" t="s">
        <v>49</v>
      </c>
      <c r="D43">
        <v>32571</v>
      </c>
      <c r="E43">
        <v>15218</v>
      </c>
      <c r="F43">
        <f t="shared" ref="F43:F45" si="2">D43/SUM(D$42:D$45)</f>
        <v>0.763215859030837</v>
      </c>
      <c r="G43">
        <f t="shared" ref="G43:G45" si="3">E43/SUM(E$42:E$45)</f>
        <v>0.68092532104344716</v>
      </c>
      <c r="H43" s="1">
        <f t="shared" ref="H43:H45" si="4">$D$7*F43</f>
        <v>0.37866573775401263</v>
      </c>
      <c r="I43" s="1">
        <f t="shared" ref="I43:I45" si="5">$D$8*G43</f>
        <v>0.34308762283874178</v>
      </c>
    </row>
    <row r="44" spans="1:9">
      <c r="B44" t="s">
        <v>49</v>
      </c>
      <c r="C44" t="s">
        <v>51</v>
      </c>
      <c r="D44">
        <v>1591</v>
      </c>
      <c r="E44">
        <v>1494</v>
      </c>
      <c r="F44">
        <f t="shared" si="2"/>
        <v>3.7280907301527791E-2</v>
      </c>
      <c r="G44">
        <f t="shared" si="3"/>
        <v>6.6848628573985408E-2</v>
      </c>
      <c r="H44" s="1">
        <f t="shared" si="4"/>
        <v>1.849673601567757E-2</v>
      </c>
      <c r="I44" s="1">
        <f t="shared" si="5"/>
        <v>3.3682015279345522E-2</v>
      </c>
    </row>
    <row r="45" spans="1:9">
      <c r="A45" s="8"/>
      <c r="B45" t="s">
        <v>51</v>
      </c>
      <c r="C45" t="s">
        <v>51</v>
      </c>
      <c r="D45">
        <v>3429</v>
      </c>
      <c r="E45">
        <v>2565</v>
      </c>
      <c r="F45">
        <f t="shared" si="2"/>
        <v>8.0349611022588807E-2</v>
      </c>
      <c r="G45">
        <f t="shared" si="3"/>
        <v>0.11477023580473399</v>
      </c>
      <c r="H45" s="1">
        <f t="shared" si="4"/>
        <v>3.9865058326686603E-2</v>
      </c>
      <c r="I45" s="1">
        <f t="shared" si="5"/>
        <v>5.7827556353093224E-2</v>
      </c>
    </row>
    <row r="47" spans="1:9">
      <c r="B47" t="s">
        <v>59</v>
      </c>
      <c r="C47">
        <f>SUM(D44:E45)/SUM(D42:E45)</f>
        <v>0.13962322183775472</v>
      </c>
    </row>
    <row r="51" spans="1:1">
      <c r="A51" s="8"/>
    </row>
  </sheetData>
  <mergeCells count="6">
    <mergeCell ref="D36:E36"/>
    <mergeCell ref="D40:E40"/>
    <mergeCell ref="F36:G36"/>
    <mergeCell ref="H36:I36"/>
    <mergeCell ref="F40:G40"/>
    <mergeCell ref="H40:I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19" zoomScale="120" zoomScaleNormal="120" zoomScalePageLayoutView="120" workbookViewId="0">
      <selection activeCell="F29" sqref="F29"/>
    </sheetView>
  </sheetViews>
  <sheetFormatPr baseColWidth="10" defaultColWidth="11" defaultRowHeight="15" x14ac:dyDescent="0"/>
  <cols>
    <col min="2" max="2" width="10.5" customWidth="1"/>
    <col min="3" max="3" width="9.5" bestFit="1" customWidth="1"/>
    <col min="4" max="4" width="7.5" bestFit="1" customWidth="1"/>
    <col min="5" max="5" width="21.5" bestFit="1" customWidth="1"/>
    <col min="6" max="6" width="12.1640625" customWidth="1"/>
    <col min="7" max="7" width="9.83203125" customWidth="1"/>
    <col min="8" max="8" width="7.6640625" hidden="1" customWidth="1"/>
    <col min="9" max="9" width="9.6640625" hidden="1" customWidth="1"/>
    <col min="10" max="11" width="0" hidden="1" customWidth="1"/>
    <col min="12" max="12" width="13.5" customWidth="1"/>
  </cols>
  <sheetData>
    <row r="1" spans="1:18">
      <c r="A1" t="s">
        <v>23</v>
      </c>
      <c r="H1" t="s">
        <v>17</v>
      </c>
    </row>
    <row r="2" spans="1:18">
      <c r="E2" t="s">
        <v>24</v>
      </c>
      <c r="H2" t="s">
        <v>18</v>
      </c>
      <c r="I2" t="s">
        <v>19</v>
      </c>
      <c r="J2" t="s">
        <v>20</v>
      </c>
      <c r="K2" t="s">
        <v>21</v>
      </c>
      <c r="L2" t="s">
        <v>25</v>
      </c>
      <c r="P2" s="2" t="s">
        <v>69</v>
      </c>
      <c r="Q2" s="2" t="s">
        <v>70</v>
      </c>
    </row>
    <row r="3" spans="1:18" s="15" customFormat="1" ht="60">
      <c r="A3" s="14"/>
      <c r="B3" s="14" t="s">
        <v>16</v>
      </c>
      <c r="C3" s="14" t="s">
        <v>11</v>
      </c>
      <c r="D3" s="14" t="s">
        <v>12</v>
      </c>
      <c r="E3" s="14" t="s">
        <v>15</v>
      </c>
      <c r="F3" s="14" t="s">
        <v>63</v>
      </c>
      <c r="G3" s="14" t="s">
        <v>62</v>
      </c>
      <c r="H3" s="14"/>
      <c r="I3" s="14"/>
      <c r="J3" s="14"/>
      <c r="K3" s="14"/>
      <c r="L3" s="14" t="s">
        <v>64</v>
      </c>
      <c r="M3" s="14" t="s">
        <v>65</v>
      </c>
      <c r="P3" s="15" t="s">
        <v>67</v>
      </c>
      <c r="Q3" s="15" t="s">
        <v>66</v>
      </c>
    </row>
    <row r="4" spans="1:18">
      <c r="A4" t="s">
        <v>13</v>
      </c>
      <c r="B4">
        <f>C4*12</f>
        <v>60</v>
      </c>
      <c r="C4">
        <v>5</v>
      </c>
      <c r="D4">
        <v>0.90600000000000003</v>
      </c>
      <c r="E4" s="3">
        <f>-LN(D4)/C4</f>
        <v>1.9743194587831539E-2</v>
      </c>
      <c r="F4" s="23">
        <f>AVERAGE(E4,E5)</f>
        <v>1.9916244412885274E-2</v>
      </c>
      <c r="G4" s="10">
        <f>AVERAGE(E4:E7)</f>
        <v>1.9086944159633062E-2</v>
      </c>
      <c r="H4">
        <f>EXP(-$E$4*$C4)</f>
        <v>0.90600000000000003</v>
      </c>
      <c r="I4">
        <f>EXP(-$E$5*$C4)</f>
        <v>0.90443352436760105</v>
      </c>
      <c r="J4">
        <f>EXP(-$E$6*$C4)</f>
        <v>0.91017265169961348</v>
      </c>
      <c r="K4">
        <f>EXP(-$E$7*$C4)</f>
        <v>0.91534387124519301</v>
      </c>
      <c r="L4" s="7">
        <f>EXP(-$G$4*$C4)</f>
        <v>0.90897769705551568</v>
      </c>
      <c r="M4" s="7">
        <f>EXP(-$F$4*$C4)</f>
        <v>0.90521642333590402</v>
      </c>
      <c r="O4" s="2" t="s">
        <v>60</v>
      </c>
      <c r="P4">
        <f>F16/F4</f>
        <v>4.5947017122311067</v>
      </c>
      <c r="Q4">
        <f>G16/G4</f>
        <v>4.0193589538949617</v>
      </c>
      <c r="R4" s="7"/>
    </row>
    <row r="5" spans="1:18">
      <c r="B5">
        <f t="shared" ref="B5:B19" si="0">C5*12</f>
        <v>120</v>
      </c>
      <c r="C5">
        <v>10</v>
      </c>
      <c r="D5">
        <v>0.81799999999999995</v>
      </c>
      <c r="E5" s="3">
        <f t="shared" ref="E5:E19" si="1">-LN(D5)/C5</f>
        <v>2.0089294237939006E-2</v>
      </c>
      <c r="F5" s="3"/>
      <c r="G5" s="7"/>
      <c r="H5">
        <f t="shared" ref="H5:H7" si="2">EXP(-$E$4*$C5)</f>
        <v>0.82083600000000001</v>
      </c>
      <c r="I5">
        <f t="shared" ref="I5:I7" si="3">EXP(-$E$5*$C5)</f>
        <v>0.81799999999999995</v>
      </c>
      <c r="J5">
        <f t="shared" ref="J5:J7" si="4">EXP(-$E$6*$C5)</f>
        <v>0.82841425590190598</v>
      </c>
      <c r="K5">
        <f t="shared" ref="K5:K7" si="5">EXP(-$E$7*$C5)</f>
        <v>0.83785440262613642</v>
      </c>
      <c r="L5" s="7">
        <f t="shared" ref="L5:L7" si="6">EXP(-$G$4*$C5)</f>
        <v>0.82624045374434874</v>
      </c>
      <c r="M5" s="7">
        <f t="shared" ref="M5:M7" si="7">EXP(-$F$4*$C5)</f>
        <v>0.81941677307704652</v>
      </c>
      <c r="O5" s="2" t="s">
        <v>68</v>
      </c>
      <c r="P5">
        <f>F25/F4</f>
        <v>5.3688897681767722</v>
      </c>
      <c r="Q5">
        <f>G25/G4</f>
        <v>4.6534847817247345</v>
      </c>
    </row>
    <row r="6" spans="1:18">
      <c r="B6">
        <f t="shared" si="0"/>
        <v>180</v>
      </c>
      <c r="C6">
        <v>15</v>
      </c>
      <c r="D6">
        <v>0.754</v>
      </c>
      <c r="E6" s="3">
        <f t="shared" si="1"/>
        <v>1.8824194064945399E-2</v>
      </c>
      <c r="F6" s="3"/>
      <c r="G6" s="7"/>
      <c r="H6">
        <f t="shared" si="2"/>
        <v>0.74367741600000004</v>
      </c>
      <c r="I6">
        <f t="shared" si="3"/>
        <v>0.73982662293269752</v>
      </c>
      <c r="J6">
        <f t="shared" si="4"/>
        <v>0.754</v>
      </c>
      <c r="K6">
        <f t="shared" si="5"/>
        <v>0.76692489243963635</v>
      </c>
      <c r="L6" s="7">
        <f t="shared" si="6"/>
        <v>0.75103414485864239</v>
      </c>
      <c r="M6" s="7">
        <f t="shared" si="7"/>
        <v>0.74174952054625209</v>
      </c>
    </row>
    <row r="7" spans="1:18">
      <c r="A7" s="11"/>
      <c r="B7" s="11">
        <f t="shared" si="0"/>
        <v>240</v>
      </c>
      <c r="C7" s="11">
        <v>20</v>
      </c>
      <c r="D7" s="11">
        <v>0.70199999999999996</v>
      </c>
      <c r="E7" s="12">
        <f t="shared" si="1"/>
        <v>1.76910937478163E-2</v>
      </c>
      <c r="F7" s="12"/>
      <c r="G7" s="13"/>
      <c r="H7" s="11">
        <f t="shared" si="2"/>
        <v>0.67377173889600006</v>
      </c>
      <c r="I7" s="11">
        <f t="shared" si="3"/>
        <v>0.66912399999999994</v>
      </c>
      <c r="J7" s="11">
        <f t="shared" si="4"/>
        <v>0.68627017938150858</v>
      </c>
      <c r="K7" s="11">
        <f t="shared" si="5"/>
        <v>0.70199999999999996</v>
      </c>
      <c r="L7" s="13">
        <f t="shared" si="6"/>
        <v>0.68267328740366728</v>
      </c>
      <c r="M7" s="7">
        <f t="shared" si="7"/>
        <v>0.6714438479999999</v>
      </c>
      <c r="O7" s="2"/>
    </row>
    <row r="8" spans="1:18">
      <c r="A8" t="s">
        <v>14</v>
      </c>
      <c r="B8">
        <f t="shared" si="0"/>
        <v>60</v>
      </c>
      <c r="C8">
        <v>5</v>
      </c>
      <c r="D8">
        <v>0.69199999999999995</v>
      </c>
      <c r="E8" s="3">
        <f t="shared" si="1"/>
        <v>7.3633864672893512E-2</v>
      </c>
      <c r="F8" s="3">
        <f>AVERAGE(E8,E9)</f>
        <v>6.74413962135713E-2</v>
      </c>
      <c r="G8" s="7">
        <f>AVERAGE(E8:E11)</f>
        <v>6.0025329705489856E-2</v>
      </c>
      <c r="L8" s="7">
        <f>EXP(-$G$8*$C8)</f>
        <v>0.7407244030860165</v>
      </c>
      <c r="M8" s="25"/>
      <c r="P8" t="s">
        <v>71</v>
      </c>
    </row>
    <row r="9" spans="1:18">
      <c r="B9">
        <f t="shared" si="0"/>
        <v>120</v>
      </c>
      <c r="C9">
        <v>10</v>
      </c>
      <c r="D9">
        <v>0.54200000000000004</v>
      </c>
      <c r="E9" s="3">
        <f t="shared" si="1"/>
        <v>6.1248927754249081E-2</v>
      </c>
      <c r="F9" s="3"/>
      <c r="G9" s="7"/>
      <c r="L9" s="7">
        <f t="shared" ref="L9:L11" si="8">EXP(-$G$8*$C9)</f>
        <v>0.54867264132713545</v>
      </c>
      <c r="P9" s="3">
        <f>F25-F4</f>
        <v>8.7011876435962282E-2</v>
      </c>
    </row>
    <row r="10" spans="1:18">
      <c r="B10">
        <f t="shared" si="0"/>
        <v>180</v>
      </c>
      <c r="C10">
        <v>15</v>
      </c>
      <c r="D10">
        <v>0.42799999999999999</v>
      </c>
      <c r="E10" s="3">
        <f t="shared" si="1"/>
        <v>5.6575472226689349E-2</v>
      </c>
      <c r="F10" s="3"/>
      <c r="G10" s="7"/>
      <c r="L10" s="7">
        <f t="shared" si="8"/>
        <v>0.40641521473667047</v>
      </c>
      <c r="P10" t="s">
        <v>72</v>
      </c>
    </row>
    <row r="11" spans="1:18">
      <c r="A11" s="11"/>
      <c r="B11" s="11">
        <f t="shared" si="0"/>
        <v>240</v>
      </c>
      <c r="C11" s="11">
        <v>20</v>
      </c>
      <c r="D11" s="11">
        <v>0.378</v>
      </c>
      <c r="E11" s="12">
        <f t="shared" si="1"/>
        <v>4.8643054168127468E-2</v>
      </c>
      <c r="F11" s="12"/>
      <c r="G11" s="13"/>
      <c r="H11" s="11"/>
      <c r="I11" s="11"/>
      <c r="J11" s="11"/>
      <c r="K11" s="11"/>
      <c r="L11" s="13">
        <f t="shared" si="8"/>
        <v>0.30104166734089538</v>
      </c>
      <c r="M11" s="11"/>
      <c r="P11">
        <f>1/P5</f>
        <v>0.18625824764131657</v>
      </c>
    </row>
    <row r="12" spans="1:18">
      <c r="A12" t="s">
        <v>22</v>
      </c>
      <c r="B12">
        <f t="shared" si="0"/>
        <v>60</v>
      </c>
      <c r="C12">
        <v>5</v>
      </c>
      <c r="D12">
        <v>0.17199999999999999</v>
      </c>
      <c r="E12" s="3">
        <f t="shared" si="1"/>
        <v>0.35205216043373683</v>
      </c>
      <c r="F12" s="3">
        <f>AVERAGE(E12,E13)</f>
        <v>0.2986964793532999</v>
      </c>
      <c r="G12" s="7">
        <f>AVERAGE(E12:E15)</f>
        <v>0.22866681375727765</v>
      </c>
      <c r="L12" s="7">
        <f>EXP(-$G$12*$C12)</f>
        <v>0.31875449878098944</v>
      </c>
    </row>
    <row r="13" spans="1:18">
      <c r="B13">
        <f t="shared" si="0"/>
        <v>120</v>
      </c>
      <c r="C13">
        <v>10</v>
      </c>
      <c r="D13">
        <v>8.5999999999999993E-2</v>
      </c>
      <c r="E13" s="3">
        <f t="shared" si="1"/>
        <v>0.24534079827286295</v>
      </c>
      <c r="F13" s="3"/>
      <c r="G13" s="7"/>
      <c r="L13" s="7">
        <f t="shared" ref="L13:L14" si="9">EXP(-$G$12*$C13)</f>
        <v>0.1016044304931198</v>
      </c>
      <c r="P13" t="s">
        <v>123</v>
      </c>
    </row>
    <row r="14" spans="1:18">
      <c r="B14">
        <f t="shared" si="0"/>
        <v>180</v>
      </c>
      <c r="C14">
        <v>15</v>
      </c>
      <c r="D14">
        <v>6.9000000000000006E-2</v>
      </c>
      <c r="E14" s="3">
        <f t="shared" si="1"/>
        <v>0.17824325162565852</v>
      </c>
      <c r="F14" s="3"/>
      <c r="G14" s="7"/>
      <c r="L14" s="7">
        <f t="shared" si="9"/>
        <v>3.2386869315762276E-2</v>
      </c>
      <c r="P14">
        <f>F4/2</f>
        <v>9.9581222064426371E-3</v>
      </c>
    </row>
    <row r="15" spans="1:18">
      <c r="A15" s="11"/>
      <c r="B15" s="11">
        <f t="shared" si="0"/>
        <v>240</v>
      </c>
      <c r="C15" s="11">
        <v>20</v>
      </c>
      <c r="D15" s="11">
        <v>6.2E-2</v>
      </c>
      <c r="E15" s="12">
        <f t="shared" si="1"/>
        <v>0.13903104469685229</v>
      </c>
      <c r="F15" s="12"/>
      <c r="G15" s="13"/>
      <c r="H15" s="11"/>
      <c r="I15" s="11"/>
      <c r="J15" s="11"/>
      <c r="K15" s="11"/>
      <c r="L15" s="20">
        <f>EXP(-$G$12*$C15)</f>
        <v>1.0323460295831213E-2</v>
      </c>
      <c r="M15" s="22"/>
      <c r="P15" t="s">
        <v>124</v>
      </c>
    </row>
    <row r="16" spans="1:18">
      <c r="A16" t="s">
        <v>60</v>
      </c>
      <c r="B16">
        <f t="shared" si="0"/>
        <v>60</v>
      </c>
      <c r="C16">
        <v>5</v>
      </c>
      <c r="D16" s="16">
        <v>0.59899999999999998</v>
      </c>
      <c r="E16" s="17">
        <f t="shared" si="1"/>
        <v>0.10249873617333756</v>
      </c>
      <c r="F16" s="24">
        <f>AVERAGE(E16,E17)</f>
        <v>9.1509202305097181E-2</v>
      </c>
      <c r="G16" s="10">
        <f>AVERAGE(E16:E19)</f>
        <v>7.6717279910514288E-2</v>
      </c>
      <c r="L16" s="21">
        <f>EXP(-$G$16*$C16)</f>
        <v>0.68141320170960529</v>
      </c>
      <c r="M16" s="21">
        <f>EXP(-$F$16*$C16)</f>
        <v>0.6328347106667781</v>
      </c>
      <c r="O16" s="3"/>
      <c r="P16" s="3">
        <f>F25-P14</f>
        <v>9.6969998642404923E-2</v>
      </c>
    </row>
    <row r="17" spans="1:16">
      <c r="A17" t="s">
        <v>61</v>
      </c>
      <c r="B17">
        <f t="shared" si="0"/>
        <v>120</v>
      </c>
      <c r="C17">
        <v>10</v>
      </c>
      <c r="D17" s="16">
        <v>0.44700000000000001</v>
      </c>
      <c r="E17" s="17">
        <f t="shared" si="1"/>
        <v>8.0519668436856817E-2</v>
      </c>
      <c r="F17" s="17"/>
      <c r="G17" s="7"/>
      <c r="L17" s="20">
        <f>EXP(-$G$16*$C17)</f>
        <v>0.46432395146413519</v>
      </c>
      <c r="M17" s="20">
        <f t="shared" ref="M17:M19" si="10">EXP(-$F$16*$C17)</f>
        <v>0.40047977102470483</v>
      </c>
      <c r="P17" t="s">
        <v>125</v>
      </c>
    </row>
    <row r="18" spans="1:16">
      <c r="B18">
        <f t="shared" si="0"/>
        <v>180</v>
      </c>
      <c r="C18">
        <v>15</v>
      </c>
      <c r="D18" s="16">
        <v>0.36499999999999999</v>
      </c>
      <c r="E18" s="17">
        <f t="shared" si="1"/>
        <v>6.7190528359976368E-2</v>
      </c>
      <c r="F18" s="17"/>
      <c r="L18" s="20">
        <f>EXP(-$G$16*$C18)</f>
        <v>0.31639647039763169</v>
      </c>
      <c r="M18" s="20">
        <f t="shared" si="10"/>
        <v>0.25343750002431664</v>
      </c>
      <c r="P18">
        <f>P14/F25</f>
        <v>9.3129123820658286E-2</v>
      </c>
    </row>
    <row r="19" spans="1:16">
      <c r="A19" s="11"/>
      <c r="B19" s="11">
        <f t="shared" si="0"/>
        <v>240</v>
      </c>
      <c r="C19" s="11">
        <v>20</v>
      </c>
      <c r="D19" s="18">
        <v>0.32200000000000001</v>
      </c>
      <c r="E19" s="19">
        <f t="shared" si="1"/>
        <v>5.6660186671886437E-2</v>
      </c>
      <c r="F19" s="19"/>
      <c r="G19" s="11"/>
      <c r="H19" s="11"/>
      <c r="I19" s="11"/>
      <c r="J19" s="11"/>
      <c r="K19" s="11"/>
      <c r="L19" s="13">
        <f>EXP(-$G$16*$C19)</f>
        <v>0.21559673190326856</v>
      </c>
      <c r="M19" s="13">
        <f t="shared" si="10"/>
        <v>0.160384047</v>
      </c>
    </row>
    <row r="24" spans="1:16">
      <c r="E24" t="s">
        <v>40</v>
      </c>
      <c r="G24" s="7" t="s">
        <v>39</v>
      </c>
    </row>
    <row r="25" spans="1:16">
      <c r="E25">
        <f>'HR and Stage'!E8</f>
        <v>0.8292503494445671</v>
      </c>
      <c r="F25" s="24">
        <f>F8*E25+F12*E26</f>
        <v>0.10692812084884756</v>
      </c>
      <c r="G25" s="10">
        <f>E25*G8+G12*E26</f>
        <v>8.8820804176482249E-2</v>
      </c>
    </row>
    <row r="26" spans="1:16">
      <c r="E26">
        <f>'HR and Stage'!E9</f>
        <v>0.17074965055543295</v>
      </c>
    </row>
    <row r="29" spans="1:16">
      <c r="F29">
        <f>E25*E8+E26*E12</f>
        <v>0.12117369138229669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tabSelected="1" workbookViewId="0">
      <selection activeCell="H20" sqref="H20"/>
    </sheetView>
  </sheetViews>
  <sheetFormatPr baseColWidth="10" defaultColWidth="11" defaultRowHeight="15" x14ac:dyDescent="0"/>
  <cols>
    <col min="1" max="1" width="8.5" bestFit="1" customWidth="1"/>
    <col min="2" max="2" width="8.5" customWidth="1"/>
    <col min="3" max="3" width="5.83203125" bestFit="1" customWidth="1"/>
    <col min="4" max="4" width="10.33203125" bestFit="1" customWidth="1"/>
    <col min="5" max="5" width="50.33203125" bestFit="1" customWidth="1"/>
    <col min="6" max="6" width="13.1640625" customWidth="1"/>
    <col min="7" max="7" width="11.6640625" customWidth="1"/>
    <col min="8" max="8" width="13.33203125" customWidth="1"/>
    <col min="9" max="9" width="12.1640625" customWidth="1"/>
    <col min="10" max="10" width="12.33203125" customWidth="1"/>
    <col min="11" max="12" width="12" customWidth="1"/>
    <col min="13" max="13" width="11.33203125" customWidth="1"/>
    <col min="14" max="14" width="14.5" customWidth="1"/>
  </cols>
  <sheetData>
    <row r="2" spans="1:16">
      <c r="F2" s="31" t="s">
        <v>97</v>
      </c>
      <c r="G2" s="31"/>
      <c r="H2" s="31"/>
      <c r="I2" s="31"/>
      <c r="J2" s="31" t="s">
        <v>79</v>
      </c>
      <c r="K2" s="31"/>
      <c r="L2" s="29" t="s">
        <v>127</v>
      </c>
      <c r="M2" s="31" t="s">
        <v>80</v>
      </c>
      <c r="N2" s="31"/>
      <c r="O2" s="31"/>
    </row>
    <row r="3" spans="1:16">
      <c r="F3" t="s">
        <v>74</v>
      </c>
      <c r="H3" t="s">
        <v>78</v>
      </c>
      <c r="M3" t="s">
        <v>81</v>
      </c>
      <c r="N3" t="s">
        <v>82</v>
      </c>
      <c r="O3" t="s">
        <v>99</v>
      </c>
    </row>
    <row r="4" spans="1:16">
      <c r="A4" t="s">
        <v>96</v>
      </c>
      <c r="B4" t="s">
        <v>112</v>
      </c>
      <c r="C4" t="s">
        <v>98</v>
      </c>
      <c r="D4" t="s">
        <v>77</v>
      </c>
      <c r="E4" t="s">
        <v>73</v>
      </c>
      <c r="F4" t="s">
        <v>75</v>
      </c>
      <c r="G4" t="s">
        <v>76</v>
      </c>
      <c r="H4" t="s">
        <v>75</v>
      </c>
      <c r="I4" t="s">
        <v>76</v>
      </c>
      <c r="J4" t="s">
        <v>75</v>
      </c>
      <c r="K4" t="s">
        <v>76</v>
      </c>
      <c r="L4" t="s">
        <v>76</v>
      </c>
      <c r="P4" t="s">
        <v>108</v>
      </c>
    </row>
    <row r="5" spans="1:16">
      <c r="A5">
        <v>3</v>
      </c>
      <c r="C5" t="s">
        <v>100</v>
      </c>
      <c r="E5" t="s">
        <v>88</v>
      </c>
      <c r="F5" s="27">
        <v>5.29</v>
      </c>
      <c r="G5" s="27"/>
      <c r="H5" s="27">
        <v>6.21</v>
      </c>
      <c r="I5" s="27"/>
      <c r="J5" s="27">
        <v>0.85</v>
      </c>
      <c r="K5" s="27">
        <v>0.83</v>
      </c>
      <c r="L5" s="27"/>
    </row>
    <row r="6" spans="1:16">
      <c r="A6">
        <v>10</v>
      </c>
      <c r="C6" t="s">
        <v>101</v>
      </c>
      <c r="E6" t="s">
        <v>89</v>
      </c>
      <c r="F6" s="27">
        <v>6.8</v>
      </c>
      <c r="G6" s="27"/>
      <c r="H6" s="27">
        <v>9.91</v>
      </c>
      <c r="I6" s="27"/>
      <c r="J6" s="27">
        <v>0.69</v>
      </c>
      <c r="K6" s="27">
        <v>0.68</v>
      </c>
      <c r="L6" s="27"/>
      <c r="P6" t="s">
        <v>113</v>
      </c>
    </row>
    <row r="7" spans="1:16">
      <c r="A7">
        <v>12</v>
      </c>
      <c r="C7" t="s">
        <v>102</v>
      </c>
      <c r="E7" t="s">
        <v>90</v>
      </c>
      <c r="F7" s="27">
        <v>9.01</v>
      </c>
      <c r="G7" s="27"/>
      <c r="H7" s="27">
        <v>10.9</v>
      </c>
      <c r="I7" s="27"/>
      <c r="J7" s="27">
        <v>0.83</v>
      </c>
      <c r="K7" s="27">
        <v>0.82</v>
      </c>
      <c r="L7" s="27"/>
    </row>
    <row r="8" spans="1:16">
      <c r="A8">
        <v>14</v>
      </c>
      <c r="C8" t="s">
        <v>103</v>
      </c>
      <c r="E8" t="s">
        <v>91</v>
      </c>
      <c r="F8" s="27">
        <v>4.2699999999999996</v>
      </c>
      <c r="G8" s="27"/>
      <c r="H8" s="27">
        <v>4.8600000000000003</v>
      </c>
      <c r="I8" s="27"/>
      <c r="J8" s="27">
        <v>0.88</v>
      </c>
      <c r="K8" s="27">
        <v>0.91</v>
      </c>
      <c r="L8" s="27"/>
    </row>
    <row r="9" spans="1:16">
      <c r="A9">
        <v>15</v>
      </c>
      <c r="B9" t="s">
        <v>120</v>
      </c>
      <c r="C9" t="s">
        <v>104</v>
      </c>
      <c r="E9" t="s">
        <v>92</v>
      </c>
      <c r="F9" s="27">
        <v>3.93</v>
      </c>
      <c r="G9" s="27">
        <f>(112/29961)*1000</f>
        <v>3.7381929842128101</v>
      </c>
      <c r="H9" s="27">
        <v>4.8099999999999996</v>
      </c>
      <c r="I9" s="27">
        <f>(63/21650)*1000</f>
        <v>2.9099307159353347</v>
      </c>
      <c r="J9" s="27">
        <v>0.8</v>
      </c>
      <c r="K9" s="27">
        <v>0.77</v>
      </c>
      <c r="L9" s="27">
        <f>G9-I9</f>
        <v>0.8282622682774754</v>
      </c>
      <c r="P9" t="s">
        <v>122</v>
      </c>
    </row>
    <row r="10" spans="1:16">
      <c r="A10">
        <v>16</v>
      </c>
      <c r="B10" t="s">
        <v>128</v>
      </c>
      <c r="C10" t="s">
        <v>105</v>
      </c>
      <c r="D10" s="28">
        <v>10.7</v>
      </c>
      <c r="E10" t="s">
        <v>95</v>
      </c>
      <c r="F10" s="27">
        <v>3.17</v>
      </c>
      <c r="G10" s="27">
        <f>(251/106956)*1000</f>
        <v>2.346759415086578</v>
      </c>
      <c r="H10" s="27">
        <v>3.61</v>
      </c>
      <c r="I10" s="27">
        <f>(105/53884)*1000</f>
        <v>1.948630391210749</v>
      </c>
      <c r="J10" s="27">
        <v>0.88</v>
      </c>
      <c r="K10" s="27">
        <v>0.83</v>
      </c>
      <c r="L10" s="27">
        <f t="shared" ref="L10:L13" si="0">G10-I10</f>
        <v>0.39812902387582905</v>
      </c>
    </row>
    <row r="11" spans="1:16">
      <c r="A11">
        <v>17</v>
      </c>
      <c r="B11" t="s">
        <v>117</v>
      </c>
      <c r="C11" t="s">
        <v>106</v>
      </c>
      <c r="E11" t="s">
        <v>93</v>
      </c>
      <c r="F11" s="27">
        <v>4.4000000000000004</v>
      </c>
      <c r="G11" s="27">
        <f>(105/25214)*1000</f>
        <v>4.1643531371460298</v>
      </c>
      <c r="H11" s="27">
        <v>4.5599999999999996</v>
      </c>
      <c r="I11" s="27">
        <f>(108/25216)*1000</f>
        <v>4.282994923857868</v>
      </c>
      <c r="J11" s="27">
        <v>0.97</v>
      </c>
      <c r="K11" s="27">
        <v>0.97</v>
      </c>
      <c r="L11" s="27">
        <f t="shared" si="0"/>
        <v>-0.11864178671183812</v>
      </c>
      <c r="O11">
        <f>3.82/10000</f>
        <v>3.8199999999999996E-4</v>
      </c>
      <c r="P11" t="s">
        <v>119</v>
      </c>
    </row>
    <row r="12" spans="1:16">
      <c r="A12">
        <v>19</v>
      </c>
      <c r="C12" t="s">
        <v>107</v>
      </c>
      <c r="E12" t="s">
        <v>94</v>
      </c>
      <c r="F12" s="27">
        <v>5.78</v>
      </c>
      <c r="G12" s="27"/>
      <c r="H12" s="27">
        <v>6.91</v>
      </c>
      <c r="I12" s="27"/>
      <c r="J12" s="27">
        <v>0.84</v>
      </c>
      <c r="K12" s="27">
        <v>1.02</v>
      </c>
      <c r="L12" s="27">
        <f t="shared" si="0"/>
        <v>0</v>
      </c>
    </row>
    <row r="13" spans="1:16">
      <c r="B13" t="s">
        <v>86</v>
      </c>
      <c r="C13" t="s">
        <v>111</v>
      </c>
      <c r="D13" t="s">
        <v>114</v>
      </c>
      <c r="E13" t="s">
        <v>110</v>
      </c>
      <c r="F13" s="27"/>
      <c r="G13" s="27">
        <f>(584/117260)*1000</f>
        <v>4.9803854681903461</v>
      </c>
      <c r="H13" s="27"/>
      <c r="I13" s="27">
        <f>(511/129750)*1000</f>
        <v>3.9383429672447012</v>
      </c>
      <c r="J13" s="27"/>
      <c r="K13" s="27"/>
      <c r="L13" s="27">
        <f t="shared" si="0"/>
        <v>1.0420425009456449</v>
      </c>
      <c r="O13" s="7">
        <f>(584/(1688*1000))</f>
        <v>3.4597156398104268E-4</v>
      </c>
      <c r="P13" t="s">
        <v>109</v>
      </c>
    </row>
    <row r="19" spans="4:8">
      <c r="G19">
        <f>1427-1236</f>
        <v>191</v>
      </c>
      <c r="H19">
        <f>G19-172</f>
        <v>19</v>
      </c>
    </row>
    <row r="29" spans="4:8">
      <c r="D29" t="s">
        <v>83</v>
      </c>
    </row>
    <row r="30" spans="4:8">
      <c r="D30" s="26" t="s">
        <v>84</v>
      </c>
      <c r="E30" t="s">
        <v>85</v>
      </c>
    </row>
    <row r="31" spans="4:8">
      <c r="D31" s="26" t="s">
        <v>86</v>
      </c>
      <c r="E31" t="s">
        <v>87</v>
      </c>
    </row>
    <row r="32" spans="4:8">
      <c r="D32" s="26" t="s">
        <v>116</v>
      </c>
      <c r="E32" t="s">
        <v>115</v>
      </c>
    </row>
    <row r="33" spans="4:5">
      <c r="D33" s="26" t="s">
        <v>117</v>
      </c>
      <c r="E33" t="s">
        <v>118</v>
      </c>
    </row>
    <row r="34" spans="4:5">
      <c r="D34" s="26" t="s">
        <v>120</v>
      </c>
      <c r="E34" t="s">
        <v>121</v>
      </c>
    </row>
    <row r="35" spans="4:5">
      <c r="D35" s="26"/>
    </row>
    <row r="36" spans="4:5">
      <c r="D36" s="26"/>
    </row>
  </sheetData>
  <mergeCells count="3">
    <mergeCell ref="F2:I2"/>
    <mergeCell ref="J2:K2"/>
    <mergeCell ref="M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and Stage</vt:lpstr>
      <vt:lpstr>SEER Survival</vt:lpstr>
      <vt:lpstr>Mammography Trials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Birnbaum</dc:creator>
  <cp:lastModifiedBy>Jeanette Birnbaum</cp:lastModifiedBy>
  <dcterms:created xsi:type="dcterms:W3CDTF">2014-10-24T18:22:16Z</dcterms:created>
  <dcterms:modified xsi:type="dcterms:W3CDTF">2015-04-30T16:27:27Z</dcterms:modified>
</cp:coreProperties>
</file>